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0 13 3120р УЮТ, Суфтина 32,  Комсомольская 52\Лот 1 Уют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DW35" i="3" l="1"/>
  <c r="DX35" i="3" s="1"/>
  <c r="DX21" i="3"/>
  <c r="DX15" i="3"/>
  <c r="DW18" i="3"/>
  <c r="DX18" i="3" s="1"/>
  <c r="DW17" i="3"/>
  <c r="DX17" i="3" s="1"/>
  <c r="DW15" i="3"/>
  <c r="DV35" i="3"/>
  <c r="DU35" i="3"/>
  <c r="DV21" i="3"/>
  <c r="DV17" i="3"/>
  <c r="DU18" i="3"/>
  <c r="DV18" i="3" s="1"/>
  <c r="DU17" i="3"/>
  <c r="DU15" i="3"/>
  <c r="DV15" i="3" s="1"/>
  <c r="DT35" i="3"/>
  <c r="DT21" i="3"/>
  <c r="DS35" i="3"/>
  <c r="DS18" i="3"/>
  <c r="DT18" i="3" s="1"/>
  <c r="DS17" i="3"/>
  <c r="DT17" i="3" s="1"/>
  <c r="DS15" i="3"/>
  <c r="DT15" i="3" s="1"/>
  <c r="DR35" i="3"/>
  <c r="DQ35" i="3"/>
  <c r="DR21" i="3"/>
  <c r="DQ18" i="3"/>
  <c r="DR18" i="3" s="1"/>
  <c r="DQ17" i="3"/>
  <c r="DR17" i="3" s="1"/>
  <c r="DQ15" i="3"/>
  <c r="DR15" i="3" s="1"/>
  <c r="DO35" i="3"/>
  <c r="DP35" i="3" s="1"/>
  <c r="DP21" i="3"/>
  <c r="DP15" i="3"/>
  <c r="DO18" i="3"/>
  <c r="DP18" i="3" s="1"/>
  <c r="DO17" i="3"/>
  <c r="DP17" i="3" s="1"/>
  <c r="DO15" i="3"/>
  <c r="DN35" i="3"/>
  <c r="DM35" i="3"/>
  <c r="DN21" i="3"/>
  <c r="DN17" i="3"/>
  <c r="DM18" i="3"/>
  <c r="DN18" i="3" s="1"/>
  <c r="DM17" i="3"/>
  <c r="DM15" i="3"/>
  <c r="DN15" i="3" s="1"/>
  <c r="DL35" i="3"/>
  <c r="DK35" i="3"/>
  <c r="DL21" i="3"/>
  <c r="DL18" i="3"/>
  <c r="DK18" i="3"/>
  <c r="DK17" i="3"/>
  <c r="DL17" i="3" s="1"/>
  <c r="DK15" i="3"/>
  <c r="DL15" i="3" s="1"/>
  <c r="FI38" i="3" l="1"/>
  <c r="DK29" i="3"/>
  <c r="DK25" i="3"/>
  <c r="DK16" i="3"/>
  <c r="DK14" i="3"/>
  <c r="DK9" i="3"/>
  <c r="DM29" i="3"/>
  <c r="DM25" i="3"/>
  <c r="DM16" i="3"/>
  <c r="DM14" i="3" s="1"/>
  <c r="DM9" i="3"/>
  <c r="DO29" i="3"/>
  <c r="DO25" i="3"/>
  <c r="DO16" i="3"/>
  <c r="DO14" i="3" s="1"/>
  <c r="DO9" i="3"/>
  <c r="DS29" i="3"/>
  <c r="DS25" i="3"/>
  <c r="DS16" i="3"/>
  <c r="DS14" i="3"/>
  <c r="DS9" i="3"/>
  <c r="DQ29" i="3"/>
  <c r="DQ25" i="3"/>
  <c r="DQ16" i="3"/>
  <c r="DQ14" i="3"/>
  <c r="DQ9" i="3"/>
  <c r="DU29" i="3"/>
  <c r="DU25" i="3"/>
  <c r="DU16" i="3"/>
  <c r="DU14" i="3" s="1"/>
  <c r="DU9" i="3"/>
  <c r="DW29" i="3"/>
  <c r="DW25" i="3"/>
  <c r="DW16" i="3"/>
  <c r="DW14" i="3"/>
  <c r="DW9" i="3"/>
  <c r="DZ21" i="3" l="1"/>
  <c r="DY35" i="3"/>
  <c r="DZ35" i="3" s="1"/>
  <c r="DY18" i="3"/>
  <c r="DZ18" i="3" s="1"/>
  <c r="DY17" i="3"/>
  <c r="DZ17" i="3" s="1"/>
  <c r="DY15" i="3"/>
  <c r="DZ15" i="3" s="1"/>
  <c r="DY29" i="3"/>
  <c r="DY25" i="3"/>
  <c r="DY16" i="3"/>
  <c r="DY9" i="3"/>
  <c r="EB21" i="3"/>
  <c r="EA35" i="3"/>
  <c r="EB35" i="3" s="1"/>
  <c r="EA18" i="3"/>
  <c r="EB18" i="3" s="1"/>
  <c r="EA17" i="3"/>
  <c r="EB17" i="3" s="1"/>
  <c r="EA15" i="3"/>
  <c r="EB15" i="3" s="1"/>
  <c r="EA29" i="3"/>
  <c r="EA25" i="3"/>
  <c r="EA16" i="3"/>
  <c r="EA9" i="3"/>
  <c r="ED21" i="3"/>
  <c r="EC35" i="3"/>
  <c r="ED35" i="3" s="1"/>
  <c r="EC18" i="3"/>
  <c r="ED18" i="3" s="1"/>
  <c r="EC17" i="3"/>
  <c r="ED17" i="3" s="1"/>
  <c r="EC15" i="3"/>
  <c r="ED15" i="3" s="1"/>
  <c r="EC29" i="3"/>
  <c r="EC25" i="3"/>
  <c r="EC16" i="3"/>
  <c r="EC9" i="3"/>
  <c r="DY14" i="3" l="1"/>
  <c r="EA14" i="3"/>
  <c r="EC14" i="3"/>
  <c r="EF21" i="3"/>
  <c r="EE15" i="3"/>
  <c r="EF15" i="3" s="1"/>
  <c r="EE35" i="3"/>
  <c r="EF35" i="3" s="1"/>
  <c r="EE18" i="3"/>
  <c r="EF18" i="3" s="1"/>
  <c r="EE17" i="3"/>
  <c r="EF17" i="3" s="1"/>
  <c r="EE29" i="3"/>
  <c r="EE25" i="3"/>
  <c r="EE16" i="3"/>
  <c r="EE9" i="3"/>
  <c r="EH21" i="3"/>
  <c r="EG35" i="3"/>
  <c r="EH35" i="3" s="1"/>
  <c r="EG18" i="3"/>
  <c r="EH18" i="3" s="1"/>
  <c r="EG17" i="3"/>
  <c r="EH17" i="3" s="1"/>
  <c r="EG16" i="3"/>
  <c r="EI18" i="3"/>
  <c r="EJ18" i="3" s="1"/>
  <c r="EI17" i="3"/>
  <c r="EJ17" i="3" s="1"/>
  <c r="EI16" i="3"/>
  <c r="EJ16" i="3" s="1"/>
  <c r="EG15" i="3"/>
  <c r="EH15" i="3" s="1"/>
  <c r="EG29" i="3"/>
  <c r="EG25" i="3"/>
  <c r="EG9" i="3"/>
  <c r="EJ21" i="3"/>
  <c r="EI35" i="3"/>
  <c r="EJ35" i="3" s="1"/>
  <c r="EI15" i="3"/>
  <c r="EJ15" i="3" s="1"/>
  <c r="EI29" i="3"/>
  <c r="EI25" i="3"/>
  <c r="EI9" i="3"/>
  <c r="BQ21" i="3"/>
  <c r="BP35" i="3"/>
  <c r="BQ35" i="3" s="1"/>
  <c r="BP18" i="3"/>
  <c r="BQ18" i="3" s="1"/>
  <c r="BP17" i="3"/>
  <c r="BQ17" i="3" s="1"/>
  <c r="BP15" i="3"/>
  <c r="BQ15" i="3" s="1"/>
  <c r="BP29" i="3"/>
  <c r="BP25" i="3"/>
  <c r="BP9" i="3"/>
  <c r="ER21" i="3"/>
  <c r="EQ35" i="3"/>
  <c r="ER35" i="3" s="1"/>
  <c r="EQ18" i="3"/>
  <c r="EQ17" i="3"/>
  <c r="ER17" i="3" s="1"/>
  <c r="EQ15" i="3"/>
  <c r="ER15" i="3" s="1"/>
  <c r="EQ30" i="3"/>
  <c r="EQ29" i="3" s="1"/>
  <c r="EQ25" i="3"/>
  <c r="EQ9" i="3"/>
  <c r="FH23" i="3"/>
  <c r="FH36" i="3"/>
  <c r="FG36" i="3"/>
  <c r="FH21" i="3"/>
  <c r="FH19" i="3"/>
  <c r="FG19" i="3"/>
  <c r="FG21" i="3"/>
  <c r="FH15" i="3"/>
  <c r="FH10" i="3"/>
  <c r="FG29" i="3"/>
  <c r="FG24" i="3"/>
  <c r="FG9" i="3"/>
  <c r="EE14" i="3" l="1"/>
  <c r="EG14" i="3"/>
  <c r="EI14" i="3"/>
  <c r="BP14" i="3"/>
  <c r="EQ14" i="3"/>
  <c r="ER18" i="3"/>
  <c r="FG14" i="3"/>
  <c r="FK38" i="3" l="1"/>
  <c r="EU35" i="3" l="1"/>
  <c r="EM35" i="3"/>
  <c r="CI35" i="3"/>
  <c r="CA35" i="3"/>
  <c r="BT35" i="3"/>
  <c r="C35" i="3"/>
  <c r="EW10" i="3"/>
  <c r="EX10" i="3"/>
  <c r="EW11" i="3"/>
  <c r="EX11" i="3"/>
  <c r="EV11" i="3"/>
  <c r="EV10" i="3"/>
  <c r="ER10" i="3"/>
  <c r="EO10" i="3"/>
  <c r="EP10" i="3"/>
  <c r="ER11" i="3"/>
  <c r="EO11" i="3"/>
  <c r="EP11" i="3"/>
  <c r="EN11" i="3"/>
  <c r="EN10" i="3"/>
  <c r="DN10" i="3"/>
  <c r="DT10" i="3"/>
  <c r="CJ10" i="3"/>
  <c r="CK10" i="3"/>
  <c r="CL10" i="3"/>
  <c r="DP10" i="3"/>
  <c r="DR10" i="3"/>
  <c r="DV10" i="3"/>
  <c r="CM10" i="3"/>
  <c r="CN10" i="3"/>
  <c r="DX10" i="3"/>
  <c r="CO10" i="3"/>
  <c r="DZ10" i="3"/>
  <c r="CP10" i="3"/>
  <c r="CQ10" i="3"/>
  <c r="EB10" i="3"/>
  <c r="CR10" i="3"/>
  <c r="CS10" i="3"/>
  <c r="ED10" i="3"/>
  <c r="CT10" i="3"/>
  <c r="CU10" i="3"/>
  <c r="CV10" i="3"/>
  <c r="CW10" i="3"/>
  <c r="EF10" i="3"/>
  <c r="CX10" i="3"/>
  <c r="CY10" i="3"/>
  <c r="CZ10" i="3"/>
  <c r="DA10" i="3"/>
  <c r="EH10" i="3"/>
  <c r="DB10" i="3"/>
  <c r="DC10" i="3"/>
  <c r="DD10" i="3"/>
  <c r="DE10" i="3"/>
  <c r="EJ10" i="3"/>
  <c r="DF10" i="3"/>
  <c r="DG10" i="3"/>
  <c r="DH10" i="3"/>
  <c r="DJ10" i="3"/>
  <c r="DI10" i="3"/>
  <c r="DN11" i="3"/>
  <c r="DT11" i="3"/>
  <c r="CJ11" i="3"/>
  <c r="CK11" i="3"/>
  <c r="CL11" i="3"/>
  <c r="DP11" i="3"/>
  <c r="DR11" i="3"/>
  <c r="DV11" i="3"/>
  <c r="CM11" i="3"/>
  <c r="CN11" i="3"/>
  <c r="DX11" i="3"/>
  <c r="CO11" i="3"/>
  <c r="DZ11" i="3"/>
  <c r="CP11" i="3"/>
  <c r="CQ11" i="3"/>
  <c r="EB11" i="3"/>
  <c r="CR11" i="3"/>
  <c r="CS11" i="3"/>
  <c r="ED11" i="3"/>
  <c r="CT11" i="3"/>
  <c r="CU11" i="3"/>
  <c r="CV11" i="3"/>
  <c r="CW11" i="3"/>
  <c r="EF11" i="3"/>
  <c r="CX11" i="3"/>
  <c r="CY11" i="3"/>
  <c r="CZ11" i="3"/>
  <c r="DA11" i="3"/>
  <c r="EH11" i="3"/>
  <c r="DB11" i="3"/>
  <c r="DC11" i="3"/>
  <c r="DD11" i="3"/>
  <c r="DE11" i="3"/>
  <c r="EJ11" i="3"/>
  <c r="DF11" i="3"/>
  <c r="DG11" i="3"/>
  <c r="DH11" i="3"/>
  <c r="DJ11" i="3"/>
  <c r="DI11" i="3"/>
  <c r="DL11" i="3"/>
  <c r="DL10" i="3"/>
  <c r="CC10" i="3"/>
  <c r="CD10" i="3"/>
  <c r="CE10" i="3"/>
  <c r="CF10" i="3"/>
  <c r="CC11" i="3"/>
  <c r="CD11" i="3"/>
  <c r="CE11" i="3"/>
  <c r="CF11" i="3"/>
  <c r="CB11" i="3"/>
  <c r="CB10" i="3"/>
  <c r="BV10" i="3"/>
  <c r="BW10" i="3"/>
  <c r="BX10" i="3"/>
  <c r="BV11" i="3"/>
  <c r="BW11" i="3"/>
  <c r="BX11" i="3"/>
  <c r="BU11" i="3"/>
  <c r="BU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BQ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BQ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D11" i="3"/>
  <c r="D10" i="3"/>
  <c r="EU9" i="3" l="1"/>
  <c r="EM9" i="3"/>
  <c r="CI9" i="3"/>
  <c r="CA9" i="3"/>
  <c r="BT9" i="3"/>
  <c r="C9" i="3"/>
  <c r="DH9" i="3" l="1"/>
  <c r="DJ9" i="3"/>
  <c r="DI9" i="3"/>
  <c r="DG9" i="3"/>
  <c r="DH15" i="3"/>
  <c r="DJ15" i="3"/>
  <c r="DI15" i="3"/>
  <c r="DG15" i="3"/>
  <c r="DH16" i="3"/>
  <c r="DJ16" i="3"/>
  <c r="DI16" i="3"/>
  <c r="DG16" i="3"/>
  <c r="DH17" i="3"/>
  <c r="DJ17" i="3"/>
  <c r="DI17" i="3"/>
  <c r="DG17" i="3"/>
  <c r="DH18" i="3"/>
  <c r="DJ18" i="3"/>
  <c r="DI18" i="3"/>
  <c r="DG18" i="3"/>
  <c r="DH19" i="3"/>
  <c r="DJ19" i="3"/>
  <c r="DI19" i="3"/>
  <c r="DG19" i="3"/>
  <c r="DH20" i="3"/>
  <c r="DJ20" i="3"/>
  <c r="DI20" i="3"/>
  <c r="DG20" i="3"/>
  <c r="DH26" i="3"/>
  <c r="DJ26" i="3"/>
  <c r="DI26" i="3"/>
  <c r="DG26" i="3"/>
  <c r="DH27" i="3"/>
  <c r="DJ27" i="3"/>
  <c r="DI27" i="3"/>
  <c r="DG27" i="3"/>
  <c r="DH28" i="3"/>
  <c r="DJ28" i="3"/>
  <c r="DI28" i="3"/>
  <c r="DG28" i="3"/>
  <c r="DG25" i="3" s="1"/>
  <c r="DH30" i="3"/>
  <c r="DJ30" i="3"/>
  <c r="DI30" i="3"/>
  <c r="DG30" i="3"/>
  <c r="DH31" i="3"/>
  <c r="DJ31" i="3"/>
  <c r="DI31" i="3"/>
  <c r="DG31" i="3"/>
  <c r="DH32" i="3"/>
  <c r="DJ32" i="3"/>
  <c r="DI32" i="3"/>
  <c r="DG32" i="3"/>
  <c r="DH33" i="3"/>
  <c r="DJ33" i="3"/>
  <c r="DI33" i="3"/>
  <c r="DG33" i="3"/>
  <c r="DH34" i="3"/>
  <c r="DJ34" i="3"/>
  <c r="DI34" i="3"/>
  <c r="DG34" i="3"/>
  <c r="DH35" i="3"/>
  <c r="DJ35" i="3"/>
  <c r="DI35" i="3"/>
  <c r="DG35" i="3"/>
  <c r="DH36" i="3"/>
  <c r="DJ36" i="3"/>
  <c r="DI36" i="3"/>
  <c r="BL36" i="3"/>
  <c r="BI36" i="3"/>
  <c r="BN15" i="3"/>
  <c r="BN16" i="3"/>
  <c r="BN17" i="3"/>
  <c r="BN18" i="3"/>
  <c r="BN19" i="3"/>
  <c r="BN20" i="3"/>
  <c r="BN26" i="3"/>
  <c r="BN27" i="3"/>
  <c r="BN28" i="3"/>
  <c r="BN30" i="3"/>
  <c r="BN31" i="3"/>
  <c r="BN32" i="3"/>
  <c r="BN33" i="3"/>
  <c r="BN34" i="3"/>
  <c r="BN35" i="3"/>
  <c r="BI15" i="3"/>
  <c r="BJ15" i="3"/>
  <c r="BK15" i="3"/>
  <c r="BL15" i="3"/>
  <c r="BM15" i="3"/>
  <c r="BO15" i="3"/>
  <c r="BI16" i="3"/>
  <c r="BJ16" i="3"/>
  <c r="BK16" i="3"/>
  <c r="BL16" i="3"/>
  <c r="BM16" i="3"/>
  <c r="BO16" i="3"/>
  <c r="BI17" i="3"/>
  <c r="BJ17" i="3"/>
  <c r="BK17" i="3"/>
  <c r="BL17" i="3"/>
  <c r="BM17" i="3"/>
  <c r="BO17" i="3"/>
  <c r="BI18" i="3"/>
  <c r="BJ18" i="3"/>
  <c r="BK18" i="3"/>
  <c r="BL18" i="3"/>
  <c r="BM18" i="3"/>
  <c r="BO18" i="3"/>
  <c r="BI19" i="3"/>
  <c r="BJ19" i="3"/>
  <c r="BK19" i="3"/>
  <c r="BL19" i="3"/>
  <c r="BM19" i="3"/>
  <c r="BO19" i="3"/>
  <c r="BI20" i="3"/>
  <c r="BJ20" i="3"/>
  <c r="BK20" i="3"/>
  <c r="BL20" i="3"/>
  <c r="BM20" i="3"/>
  <c r="BO20" i="3"/>
  <c r="BI26" i="3"/>
  <c r="BJ26" i="3"/>
  <c r="BK26" i="3"/>
  <c r="BL26" i="3"/>
  <c r="BM26" i="3"/>
  <c r="BO26" i="3"/>
  <c r="BI27" i="3"/>
  <c r="BJ27" i="3"/>
  <c r="BK27" i="3"/>
  <c r="BL27" i="3"/>
  <c r="BM27" i="3"/>
  <c r="BO27" i="3"/>
  <c r="BI28" i="3"/>
  <c r="BJ28" i="3"/>
  <c r="BK28" i="3"/>
  <c r="BL28" i="3"/>
  <c r="BM28" i="3"/>
  <c r="BO28" i="3"/>
  <c r="BI30" i="3"/>
  <c r="BJ30" i="3"/>
  <c r="BK30" i="3"/>
  <c r="BL30" i="3"/>
  <c r="BM30" i="3"/>
  <c r="BO30" i="3"/>
  <c r="BI31" i="3"/>
  <c r="BJ31" i="3"/>
  <c r="BK31" i="3"/>
  <c r="BL31" i="3"/>
  <c r="BM31" i="3"/>
  <c r="BO31" i="3"/>
  <c r="BI32" i="3"/>
  <c r="BJ32" i="3"/>
  <c r="BK32" i="3"/>
  <c r="BL32" i="3"/>
  <c r="BM32" i="3"/>
  <c r="BO32" i="3"/>
  <c r="BI33" i="3"/>
  <c r="BJ33" i="3"/>
  <c r="BK33" i="3"/>
  <c r="BL33" i="3"/>
  <c r="BM33" i="3"/>
  <c r="BO33" i="3"/>
  <c r="BI34" i="3"/>
  <c r="BJ34" i="3"/>
  <c r="BK34" i="3"/>
  <c r="BL34" i="3"/>
  <c r="BM34" i="3"/>
  <c r="BO34" i="3"/>
  <c r="BI35" i="3"/>
  <c r="BJ35" i="3"/>
  <c r="BK35" i="3"/>
  <c r="BL35" i="3"/>
  <c r="BM35" i="3"/>
  <c r="BO35" i="3"/>
  <c r="DG29" i="3" l="1"/>
  <c r="DG14" i="3"/>
  <c r="DI29" i="3"/>
  <c r="DI25" i="3"/>
  <c r="DI14" i="3"/>
  <c r="DJ29" i="3"/>
  <c r="DJ25" i="3"/>
  <c r="DJ14" i="3"/>
  <c r="DH29" i="3"/>
  <c r="DH25" i="3"/>
  <c r="DH14" i="3"/>
  <c r="BL9" i="3"/>
  <c r="BN29" i="3"/>
  <c r="BN14" i="3"/>
  <c r="BN25" i="3"/>
  <c r="BN9" i="3"/>
  <c r="BM9" i="3"/>
  <c r="BJ29" i="3"/>
  <c r="BJ14" i="3"/>
  <c r="BL14" i="3"/>
  <c r="BM29" i="3"/>
  <c r="BI29" i="3"/>
  <c r="BK25" i="3"/>
  <c r="BK9" i="3"/>
  <c r="BL29" i="3"/>
  <c r="BL25" i="3"/>
  <c r="BO25" i="3"/>
  <c r="BJ25" i="3"/>
  <c r="BO9" i="3"/>
  <c r="BJ9" i="3"/>
  <c r="BO29" i="3"/>
  <c r="BO14" i="3"/>
  <c r="BK29" i="3"/>
  <c r="BM25" i="3"/>
  <c r="BI25" i="3"/>
  <c r="BK14" i="3"/>
  <c r="BM14" i="3"/>
  <c r="BI14" i="3"/>
  <c r="BI9" i="3"/>
  <c r="CV36" i="3"/>
  <c r="CU36" i="3"/>
  <c r="EF36" i="3"/>
  <c r="CX36" i="3"/>
  <c r="CY36" i="3"/>
  <c r="DA36" i="3"/>
  <c r="EH36" i="3"/>
  <c r="DB36" i="3"/>
  <c r="DC36" i="3"/>
  <c r="DD36" i="3"/>
  <c r="DF36" i="3"/>
  <c r="CT36" i="3"/>
  <c r="DP36" i="3"/>
  <c r="CT9" i="3"/>
  <c r="CU9" i="3"/>
  <c r="CV9" i="3"/>
  <c r="CW9" i="3"/>
  <c r="EF9" i="3"/>
  <c r="CX9" i="3"/>
  <c r="CY9" i="3"/>
  <c r="CZ9" i="3"/>
  <c r="DA9" i="3"/>
  <c r="EH9" i="3"/>
  <c r="DB9" i="3"/>
  <c r="DC9" i="3"/>
  <c r="DD9" i="3"/>
  <c r="DE9" i="3"/>
  <c r="EJ9" i="3"/>
  <c r="DF9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CT16" i="3"/>
  <c r="CU16" i="3"/>
  <c r="CV16" i="3"/>
  <c r="CW16" i="3"/>
  <c r="EF16" i="3"/>
  <c r="CX16" i="3"/>
  <c r="CY16" i="3"/>
  <c r="CZ16" i="3"/>
  <c r="DA16" i="3"/>
  <c r="EH16" i="3"/>
  <c r="DB16" i="3"/>
  <c r="DC16" i="3"/>
  <c r="DD16" i="3"/>
  <c r="DE16" i="3"/>
  <c r="DF16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CT19" i="3"/>
  <c r="CU19" i="3"/>
  <c r="CV19" i="3"/>
  <c r="CW19" i="3"/>
  <c r="EF19" i="3"/>
  <c r="CX19" i="3"/>
  <c r="CY19" i="3"/>
  <c r="CZ19" i="3"/>
  <c r="DA19" i="3"/>
  <c r="EH19" i="3"/>
  <c r="DB19" i="3"/>
  <c r="DC19" i="3"/>
  <c r="DD19" i="3"/>
  <c r="DE19" i="3"/>
  <c r="EJ19" i="3"/>
  <c r="DF19" i="3"/>
  <c r="CT20" i="3"/>
  <c r="CU20" i="3"/>
  <c r="CV20" i="3"/>
  <c r="CW20" i="3"/>
  <c r="EF20" i="3"/>
  <c r="CX20" i="3"/>
  <c r="CY20" i="3"/>
  <c r="CZ20" i="3"/>
  <c r="DA20" i="3"/>
  <c r="EH20" i="3"/>
  <c r="DB20" i="3"/>
  <c r="DC20" i="3"/>
  <c r="DD20" i="3"/>
  <c r="DE20" i="3"/>
  <c r="EJ20" i="3"/>
  <c r="DF20" i="3"/>
  <c r="CT26" i="3"/>
  <c r="CU26" i="3"/>
  <c r="CV26" i="3"/>
  <c r="CW26" i="3"/>
  <c r="EF26" i="3"/>
  <c r="CX26" i="3"/>
  <c r="CY26" i="3"/>
  <c r="CZ26" i="3"/>
  <c r="DA26" i="3"/>
  <c r="EH26" i="3"/>
  <c r="DB26" i="3"/>
  <c r="DC26" i="3"/>
  <c r="DD26" i="3"/>
  <c r="DE26" i="3"/>
  <c r="EJ26" i="3"/>
  <c r="DF26" i="3"/>
  <c r="CT27" i="3"/>
  <c r="CU27" i="3"/>
  <c r="CV27" i="3"/>
  <c r="CW27" i="3"/>
  <c r="EF27" i="3"/>
  <c r="CX27" i="3"/>
  <c r="CY27" i="3"/>
  <c r="CZ27" i="3"/>
  <c r="DA27" i="3"/>
  <c r="EH27" i="3"/>
  <c r="DB27" i="3"/>
  <c r="DC27" i="3"/>
  <c r="DD27" i="3"/>
  <c r="DE27" i="3"/>
  <c r="EJ27" i="3"/>
  <c r="DF27" i="3"/>
  <c r="CT28" i="3"/>
  <c r="CU28" i="3"/>
  <c r="CV28" i="3"/>
  <c r="CW28" i="3"/>
  <c r="EF28" i="3"/>
  <c r="CX28" i="3"/>
  <c r="CY28" i="3"/>
  <c r="CZ28" i="3"/>
  <c r="DA28" i="3"/>
  <c r="EH28" i="3"/>
  <c r="DB28" i="3"/>
  <c r="DC28" i="3"/>
  <c r="DD28" i="3"/>
  <c r="DE28" i="3"/>
  <c r="EJ28" i="3"/>
  <c r="DF28" i="3"/>
  <c r="CT30" i="3"/>
  <c r="CU30" i="3"/>
  <c r="CV30" i="3"/>
  <c r="CW30" i="3"/>
  <c r="EF30" i="3"/>
  <c r="CX30" i="3"/>
  <c r="CY30" i="3"/>
  <c r="CZ30" i="3"/>
  <c r="DA30" i="3"/>
  <c r="EH30" i="3"/>
  <c r="DB30" i="3"/>
  <c r="DC30" i="3"/>
  <c r="DD30" i="3"/>
  <c r="DE30" i="3"/>
  <c r="EJ30" i="3"/>
  <c r="DF30" i="3"/>
  <c r="CT31" i="3"/>
  <c r="CU31" i="3"/>
  <c r="CV31" i="3"/>
  <c r="CW31" i="3"/>
  <c r="EF31" i="3"/>
  <c r="CX31" i="3"/>
  <c r="CY31" i="3"/>
  <c r="CZ31" i="3"/>
  <c r="DA31" i="3"/>
  <c r="EH31" i="3"/>
  <c r="DB31" i="3"/>
  <c r="DC31" i="3"/>
  <c r="DD31" i="3"/>
  <c r="DE31" i="3"/>
  <c r="EJ31" i="3"/>
  <c r="DF31" i="3"/>
  <c r="CT32" i="3"/>
  <c r="CU32" i="3"/>
  <c r="CV32" i="3"/>
  <c r="CW32" i="3"/>
  <c r="EF32" i="3"/>
  <c r="CX32" i="3"/>
  <c r="CY32" i="3"/>
  <c r="CZ32" i="3"/>
  <c r="DA32" i="3"/>
  <c r="EH32" i="3"/>
  <c r="DB32" i="3"/>
  <c r="DC32" i="3"/>
  <c r="DD32" i="3"/>
  <c r="DE32" i="3"/>
  <c r="EJ32" i="3"/>
  <c r="DF32" i="3"/>
  <c r="CT33" i="3"/>
  <c r="CU33" i="3"/>
  <c r="CV33" i="3"/>
  <c r="CW33" i="3"/>
  <c r="EF33" i="3"/>
  <c r="CX33" i="3"/>
  <c r="CY33" i="3"/>
  <c r="CZ33" i="3"/>
  <c r="DA33" i="3"/>
  <c r="EH33" i="3"/>
  <c r="DB33" i="3"/>
  <c r="DC33" i="3"/>
  <c r="DD33" i="3"/>
  <c r="DE33" i="3"/>
  <c r="EJ33" i="3"/>
  <c r="DF33" i="3"/>
  <c r="CT34" i="3"/>
  <c r="CU34" i="3"/>
  <c r="CV34" i="3"/>
  <c r="CW34" i="3"/>
  <c r="EF34" i="3"/>
  <c r="CX34" i="3"/>
  <c r="CY34" i="3"/>
  <c r="CZ34" i="3"/>
  <c r="DA34" i="3"/>
  <c r="EH34" i="3"/>
  <c r="DB34" i="3"/>
  <c r="DC34" i="3"/>
  <c r="DD34" i="3"/>
  <c r="DE34" i="3"/>
  <c r="EJ34" i="3"/>
  <c r="DF34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EP9" i="3"/>
  <c r="EP15" i="3"/>
  <c r="EP16" i="3"/>
  <c r="EP17" i="3"/>
  <c r="EP18" i="3"/>
  <c r="EP19" i="3"/>
  <c r="EP20" i="3"/>
  <c r="EP26" i="3"/>
  <c r="EP27" i="3"/>
  <c r="EP28" i="3"/>
  <c r="EP31" i="3"/>
  <c r="EP32" i="3"/>
  <c r="EP33" i="3"/>
  <c r="EP34" i="3"/>
  <c r="EP35" i="3"/>
  <c r="EX9" i="3"/>
  <c r="EX15" i="3"/>
  <c r="EX16" i="3"/>
  <c r="EX17" i="3"/>
  <c r="EX18" i="3"/>
  <c r="EX19" i="3"/>
  <c r="EX20" i="3"/>
  <c r="EX21" i="3"/>
  <c r="EX26" i="3"/>
  <c r="EX27" i="3"/>
  <c r="EX28" i="3"/>
  <c r="EX30" i="3"/>
  <c r="EX31" i="3"/>
  <c r="EX32" i="3"/>
  <c r="EX33" i="3"/>
  <c r="EX34" i="3"/>
  <c r="EX35" i="3"/>
  <c r="DG37" i="3" l="1"/>
  <c r="DG39" i="3" s="1"/>
  <c r="BN37" i="3"/>
  <c r="BN39" i="3" s="1"/>
  <c r="BI37" i="3"/>
  <c r="BI39" i="3" s="1"/>
  <c r="BK37" i="3"/>
  <c r="BK39" i="3" s="1"/>
  <c r="BL37" i="3"/>
  <c r="BL39" i="3" s="1"/>
  <c r="DI37" i="3"/>
  <c r="DI39" i="3" s="1"/>
  <c r="BJ37" i="3"/>
  <c r="BJ39" i="3" s="1"/>
  <c r="DJ37" i="3"/>
  <c r="DJ39" i="3" s="1"/>
  <c r="BO37" i="3"/>
  <c r="BO39" i="3" s="1"/>
  <c r="BM37" i="3"/>
  <c r="BM39" i="3" s="1"/>
  <c r="DH37" i="3"/>
  <c r="DH39" i="3" s="1"/>
  <c r="DA29" i="3"/>
  <c r="DA25" i="3"/>
  <c r="CT14" i="3"/>
  <c r="DF29" i="3"/>
  <c r="DC29" i="3"/>
  <c r="CZ29" i="3"/>
  <c r="CW29" i="3"/>
  <c r="DF25" i="3"/>
  <c r="DC25" i="3"/>
  <c r="CZ25" i="3"/>
  <c r="CW25" i="3"/>
  <c r="DF14" i="3"/>
  <c r="DC14" i="3"/>
  <c r="CZ14" i="3"/>
  <c r="CW14" i="3"/>
  <c r="EF29" i="3"/>
  <c r="CT25" i="3"/>
  <c r="DD14" i="3"/>
  <c r="DA14" i="3"/>
  <c r="EJ29" i="3"/>
  <c r="DB29" i="3"/>
  <c r="CY29" i="3"/>
  <c r="CV29" i="3"/>
  <c r="EJ25" i="3"/>
  <c r="DB25" i="3"/>
  <c r="CY25" i="3"/>
  <c r="CV25" i="3"/>
  <c r="EJ14" i="3"/>
  <c r="DB14" i="3"/>
  <c r="CY14" i="3"/>
  <c r="CV14" i="3"/>
  <c r="DD29" i="3"/>
  <c r="CT29" i="3"/>
  <c r="DD25" i="3"/>
  <c r="EF25" i="3"/>
  <c r="EF14" i="3"/>
  <c r="DE29" i="3"/>
  <c r="EH29" i="3"/>
  <c r="CX29" i="3"/>
  <c r="CU29" i="3"/>
  <c r="DE25" i="3"/>
  <c r="EH25" i="3"/>
  <c r="CX25" i="3"/>
  <c r="CU25" i="3"/>
  <c r="DE14" i="3"/>
  <c r="EH14" i="3"/>
  <c r="CX14" i="3"/>
  <c r="CU14" i="3"/>
  <c r="EP14" i="3"/>
  <c r="EP25" i="3"/>
  <c r="EX25" i="3"/>
  <c r="EX14" i="3"/>
  <c r="EX29" i="3"/>
  <c r="DD37" i="3" l="1"/>
  <c r="CT37" i="3"/>
  <c r="EX37" i="3"/>
  <c r="DA37" i="3"/>
  <c r="DE37" i="3"/>
  <c r="DB37" i="3"/>
  <c r="DC37" i="3"/>
  <c r="CU37" i="3"/>
  <c r="EJ37" i="3"/>
  <c r="EF37" i="3"/>
  <c r="DF37" i="3"/>
  <c r="CX37" i="3"/>
  <c r="CV37" i="3"/>
  <c r="CW37" i="3"/>
  <c r="EH37" i="3"/>
  <c r="CY37" i="3"/>
  <c r="CZ37" i="3"/>
  <c r="FH34" i="3"/>
  <c r="FH33" i="3"/>
  <c r="FH32" i="3"/>
  <c r="FH31" i="3"/>
  <c r="FH30" i="3"/>
  <c r="FH28" i="3"/>
  <c r="FH27" i="3"/>
  <c r="FH26" i="3"/>
  <c r="FH22" i="3"/>
  <c r="FH20" i="3"/>
  <c r="FH17" i="3"/>
  <c r="FH16" i="3"/>
  <c r="FH13" i="3"/>
  <c r="FH12" i="3"/>
  <c r="FH11" i="3"/>
  <c r="FE36" i="3"/>
  <c r="FE29" i="3"/>
  <c r="FE24" i="3"/>
  <c r="FE14" i="3"/>
  <c r="FE9" i="3"/>
  <c r="FA29" i="3"/>
  <c r="FA24" i="3"/>
  <c r="FA14" i="3"/>
  <c r="FA9" i="3"/>
  <c r="FH9" i="3" l="1"/>
  <c r="FH29" i="3"/>
  <c r="FH24" i="3"/>
  <c r="FD36" i="3" l="1"/>
  <c r="FD34" i="3"/>
  <c r="FD33" i="3"/>
  <c r="FD32" i="3"/>
  <c r="FD31" i="3"/>
  <c r="FD30" i="3"/>
  <c r="FD28" i="3"/>
  <c r="FD27" i="3"/>
  <c r="FD26" i="3"/>
  <c r="FD25" i="3"/>
  <c r="FD22" i="3"/>
  <c r="FD21" i="3"/>
  <c r="FD20" i="3"/>
  <c r="FD19" i="3"/>
  <c r="FD18" i="3"/>
  <c r="FD17" i="3"/>
  <c r="FD16" i="3"/>
  <c r="FD15" i="3"/>
  <c r="FD13" i="3"/>
  <c r="FD12" i="3"/>
  <c r="FD10" i="3"/>
  <c r="FD11" i="3"/>
  <c r="FC36" i="3"/>
  <c r="FC34" i="3"/>
  <c r="FC33" i="3"/>
  <c r="FC32" i="3"/>
  <c r="FC31" i="3"/>
  <c r="FC30" i="3"/>
  <c r="FC28" i="3"/>
  <c r="FC27" i="3"/>
  <c r="FC26" i="3"/>
  <c r="FC25" i="3"/>
  <c r="FC22" i="3"/>
  <c r="FC21" i="3"/>
  <c r="FC20" i="3"/>
  <c r="FC19" i="3"/>
  <c r="FC18" i="3"/>
  <c r="FC17" i="3"/>
  <c r="FC16" i="3"/>
  <c r="FC15" i="3"/>
  <c r="FC13" i="3"/>
  <c r="FC12" i="3"/>
  <c r="FC11" i="3"/>
  <c r="FC10" i="3"/>
  <c r="FB34" i="3" l="1"/>
  <c r="FB36" i="3"/>
  <c r="FB33" i="3"/>
  <c r="FB32" i="3"/>
  <c r="FB31" i="3"/>
  <c r="FB30" i="3"/>
  <c r="FB28" i="3"/>
  <c r="FB27" i="3"/>
  <c r="FB26" i="3"/>
  <c r="FB25" i="3"/>
  <c r="FB22" i="3"/>
  <c r="FB21" i="3"/>
  <c r="FB20" i="3"/>
  <c r="FB19" i="3"/>
  <c r="FB18" i="3"/>
  <c r="FB17" i="3"/>
  <c r="FB16" i="3"/>
  <c r="FB15" i="3"/>
  <c r="FB13" i="3"/>
  <c r="FB12" i="3"/>
  <c r="FB11" i="3"/>
  <c r="FB10" i="3"/>
  <c r="FF36" i="3"/>
  <c r="FF34" i="3"/>
  <c r="FF33" i="3"/>
  <c r="FF32" i="3"/>
  <c r="FF31" i="3"/>
  <c r="FF30" i="3"/>
  <c r="FF28" i="3"/>
  <c r="FF27" i="3"/>
  <c r="FF26" i="3"/>
  <c r="FF22" i="3"/>
  <c r="FF21" i="3"/>
  <c r="FF20" i="3"/>
  <c r="FF19" i="3"/>
  <c r="FF17" i="3"/>
  <c r="FF16" i="3"/>
  <c r="FF15" i="3"/>
  <c r="FF13" i="3"/>
  <c r="FF12" i="3"/>
  <c r="FF11" i="3"/>
  <c r="FF10" i="3"/>
  <c r="FF24" i="3" l="1"/>
  <c r="FC29" i="3" l="1"/>
  <c r="FC24" i="3"/>
  <c r="FC14" i="3"/>
  <c r="FC9" i="3"/>
  <c r="FB24" i="3"/>
  <c r="FB14" i="3"/>
  <c r="FB9" i="3"/>
  <c r="FC37" i="3" l="1"/>
  <c r="FC39" i="3" s="1"/>
  <c r="FD29" i="3"/>
  <c r="FF29" i="3"/>
  <c r="FD24" i="3"/>
  <c r="FD14" i="3"/>
  <c r="FF14" i="3"/>
  <c r="FD9" i="3"/>
  <c r="FF9" i="3"/>
  <c r="FF37" i="3" l="1"/>
  <c r="FD37" i="3"/>
  <c r="FD39" i="3" l="1"/>
  <c r="FF39" i="3"/>
  <c r="T15" i="3"/>
  <c r="T16" i="3"/>
  <c r="T17" i="3"/>
  <c r="T18" i="3"/>
  <c r="T19" i="3"/>
  <c r="T20" i="3"/>
  <c r="T26" i="3"/>
  <c r="T27" i="3"/>
  <c r="T28" i="3"/>
  <c r="T30" i="3"/>
  <c r="T31" i="3"/>
  <c r="T32" i="3"/>
  <c r="T33" i="3"/>
  <c r="T34" i="3"/>
  <c r="T35" i="3"/>
  <c r="T36" i="3"/>
  <c r="Z15" i="3"/>
  <c r="Z16" i="3"/>
  <c r="Z17" i="3"/>
  <c r="Z18" i="3"/>
  <c r="Z19" i="3"/>
  <c r="Z20" i="3"/>
  <c r="Z26" i="3"/>
  <c r="Z27" i="3"/>
  <c r="Z28" i="3"/>
  <c r="Z30" i="3"/>
  <c r="Z31" i="3"/>
  <c r="Z32" i="3"/>
  <c r="Z33" i="3"/>
  <c r="Z34" i="3"/>
  <c r="Z35" i="3"/>
  <c r="T29" i="3" l="1"/>
  <c r="T14" i="3"/>
  <c r="T25" i="3"/>
  <c r="T9" i="3"/>
  <c r="Z29" i="3"/>
  <c r="Z14" i="3"/>
  <c r="Z25" i="3"/>
  <c r="Z9" i="3"/>
  <c r="EW9" i="3"/>
  <c r="EW15" i="3"/>
  <c r="EW16" i="3"/>
  <c r="EW17" i="3"/>
  <c r="EW18" i="3"/>
  <c r="EW19" i="3"/>
  <c r="EW20" i="3"/>
  <c r="EW21" i="3"/>
  <c r="EW26" i="3"/>
  <c r="EW27" i="3"/>
  <c r="EW28" i="3"/>
  <c r="EW30" i="3"/>
  <c r="EW31" i="3"/>
  <c r="EW32" i="3"/>
  <c r="EW33" i="3"/>
  <c r="EW34" i="3"/>
  <c r="EW35" i="3"/>
  <c r="EV21" i="3"/>
  <c r="EV35" i="3"/>
  <c r="EV34" i="3"/>
  <c r="EV33" i="3"/>
  <c r="EV32" i="3"/>
  <c r="EV31" i="3"/>
  <c r="EV30" i="3"/>
  <c r="EV28" i="3"/>
  <c r="EV27" i="3"/>
  <c r="EV26" i="3"/>
  <c r="EV20" i="3"/>
  <c r="EV19" i="3"/>
  <c r="EV18" i="3"/>
  <c r="EV17" i="3"/>
  <c r="EV16" i="3"/>
  <c r="EV15" i="3"/>
  <c r="EV9" i="3"/>
  <c r="EU29" i="3"/>
  <c r="EU25" i="3"/>
  <c r="EU14" i="3"/>
  <c r="ER26" i="3"/>
  <c r="EO26" i="3"/>
  <c r="EN26" i="3"/>
  <c r="ER9" i="3"/>
  <c r="EO9" i="3"/>
  <c r="EO15" i="3"/>
  <c r="ER16" i="3"/>
  <c r="EO16" i="3"/>
  <c r="EO17" i="3"/>
  <c r="EO18" i="3"/>
  <c r="ER19" i="3"/>
  <c r="EO19" i="3"/>
  <c r="ER20" i="3"/>
  <c r="EO20" i="3"/>
  <c r="ER27" i="3"/>
  <c r="EO27" i="3"/>
  <c r="ER28" i="3"/>
  <c r="EO28" i="3"/>
  <c r="ER31" i="3"/>
  <c r="EO31" i="3"/>
  <c r="ER32" i="3"/>
  <c r="EO32" i="3"/>
  <c r="ER33" i="3"/>
  <c r="EO33" i="3"/>
  <c r="ER34" i="3"/>
  <c r="EO34" i="3"/>
  <c r="EO35" i="3"/>
  <c r="EN35" i="3"/>
  <c r="EN34" i="3"/>
  <c r="EN33" i="3"/>
  <c r="EN32" i="3"/>
  <c r="EN31" i="3"/>
  <c r="EN28" i="3"/>
  <c r="EN27" i="3"/>
  <c r="EN20" i="3"/>
  <c r="EN19" i="3"/>
  <c r="EN18" i="3"/>
  <c r="EN17" i="3"/>
  <c r="EN16" i="3"/>
  <c r="EN15" i="3"/>
  <c r="EN9" i="3"/>
  <c r="EM30" i="3"/>
  <c r="EM25" i="3"/>
  <c r="EM14" i="3"/>
  <c r="Z37" i="3" l="1"/>
  <c r="Z39" i="3" s="1"/>
  <c r="T37" i="3"/>
  <c r="T39" i="3" s="1"/>
  <c r="EM29" i="3"/>
  <c r="EP30" i="3"/>
  <c r="EP29" i="3" s="1"/>
  <c r="EW14" i="3"/>
  <c r="EW25" i="3"/>
  <c r="ER14" i="3"/>
  <c r="EO14" i="3"/>
  <c r="EN30" i="3"/>
  <c r="EN29" i="3" s="1"/>
  <c r="EO30" i="3"/>
  <c r="EO29" i="3" s="1"/>
  <c r="ER30" i="3"/>
  <c r="ER29" i="3" s="1"/>
  <c r="EW29" i="3"/>
  <c r="EV29" i="3"/>
  <c r="EV25" i="3"/>
  <c r="EV14" i="3"/>
  <c r="ER25" i="3"/>
  <c r="EO25" i="3"/>
  <c r="EN25" i="3"/>
  <c r="EN14" i="3"/>
  <c r="EN37" i="3" l="1"/>
  <c r="EW37" i="3"/>
  <c r="EW39" i="3" s="1"/>
  <c r="EV37" i="3"/>
  <c r="EO37" i="3"/>
  <c r="ER37" i="3"/>
  <c r="D36" i="3" l="1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U36" i="3"/>
  <c r="V36" i="3"/>
  <c r="W36" i="3"/>
  <c r="AX36" i="3"/>
  <c r="BQ36" i="3"/>
  <c r="AY36" i="3"/>
  <c r="AZ36" i="3"/>
  <c r="BA36" i="3"/>
  <c r="BB36" i="3"/>
  <c r="BC36" i="3"/>
  <c r="BD36" i="3"/>
  <c r="BE36" i="3"/>
  <c r="BF36" i="3"/>
  <c r="ED36" i="3" l="1"/>
  <c r="CS36" i="3"/>
  <c r="CR36" i="3"/>
  <c r="CO36" i="3"/>
  <c r="CN36" i="3"/>
  <c r="CM36" i="3"/>
  <c r="DV36" i="3"/>
  <c r="DR36" i="3"/>
  <c r="DN9" i="3"/>
  <c r="DT9" i="3"/>
  <c r="CJ9" i="3"/>
  <c r="CK9" i="3"/>
  <c r="CL9" i="3"/>
  <c r="DP9" i="3"/>
  <c r="DR9" i="3"/>
  <c r="DV9" i="3"/>
  <c r="CM9" i="3"/>
  <c r="CN9" i="3"/>
  <c r="DX9" i="3"/>
  <c r="CO9" i="3"/>
  <c r="DZ9" i="3"/>
  <c r="CP9" i="3"/>
  <c r="CQ9" i="3"/>
  <c r="EB9" i="3"/>
  <c r="CR9" i="3"/>
  <c r="CS9" i="3"/>
  <c r="ED9" i="3"/>
  <c r="CJ15" i="3"/>
  <c r="CK15" i="3"/>
  <c r="CL15" i="3"/>
  <c r="CM15" i="3"/>
  <c r="CN15" i="3"/>
  <c r="CO15" i="3"/>
  <c r="CP15" i="3"/>
  <c r="CQ15" i="3"/>
  <c r="CR15" i="3"/>
  <c r="CS15" i="3"/>
  <c r="DN16" i="3"/>
  <c r="DT16" i="3"/>
  <c r="CJ16" i="3"/>
  <c r="CK16" i="3"/>
  <c r="CL16" i="3"/>
  <c r="DP16" i="3"/>
  <c r="DR16" i="3"/>
  <c r="DV16" i="3"/>
  <c r="CM16" i="3"/>
  <c r="CN16" i="3"/>
  <c r="DX16" i="3"/>
  <c r="CO16" i="3"/>
  <c r="DZ16" i="3"/>
  <c r="CP16" i="3"/>
  <c r="CQ16" i="3"/>
  <c r="EB16" i="3"/>
  <c r="CR16" i="3"/>
  <c r="CS16" i="3"/>
  <c r="ED16" i="3"/>
  <c r="CJ17" i="3"/>
  <c r="CK17" i="3"/>
  <c r="CL17" i="3"/>
  <c r="CM17" i="3"/>
  <c r="CN17" i="3"/>
  <c r="CO17" i="3"/>
  <c r="CP17" i="3"/>
  <c r="CQ17" i="3"/>
  <c r="CR17" i="3"/>
  <c r="CS17" i="3"/>
  <c r="CJ18" i="3"/>
  <c r="CK18" i="3"/>
  <c r="CL18" i="3"/>
  <c r="CM18" i="3"/>
  <c r="CN18" i="3"/>
  <c r="CO18" i="3"/>
  <c r="CP18" i="3"/>
  <c r="CQ18" i="3"/>
  <c r="CR18" i="3"/>
  <c r="CS18" i="3"/>
  <c r="DN19" i="3"/>
  <c r="DT19" i="3"/>
  <c r="CJ19" i="3"/>
  <c r="CK19" i="3"/>
  <c r="CL19" i="3"/>
  <c r="DP19" i="3"/>
  <c r="DR19" i="3"/>
  <c r="DV19" i="3"/>
  <c r="CM19" i="3"/>
  <c r="CN19" i="3"/>
  <c r="DX19" i="3"/>
  <c r="CO19" i="3"/>
  <c r="DZ19" i="3"/>
  <c r="CP19" i="3"/>
  <c r="CQ19" i="3"/>
  <c r="EB19" i="3"/>
  <c r="CR19" i="3"/>
  <c r="CS19" i="3"/>
  <c r="ED19" i="3"/>
  <c r="DN20" i="3"/>
  <c r="DT20" i="3"/>
  <c r="CJ20" i="3"/>
  <c r="CK20" i="3"/>
  <c r="CL20" i="3"/>
  <c r="DP20" i="3"/>
  <c r="DR20" i="3"/>
  <c r="DV20" i="3"/>
  <c r="CM20" i="3"/>
  <c r="CN20" i="3"/>
  <c r="DX20" i="3"/>
  <c r="CO20" i="3"/>
  <c r="DZ20" i="3"/>
  <c r="CP20" i="3"/>
  <c r="CQ20" i="3"/>
  <c r="EB20" i="3"/>
  <c r="CR20" i="3"/>
  <c r="CS20" i="3"/>
  <c r="ED20" i="3"/>
  <c r="DN26" i="3"/>
  <c r="DT26" i="3"/>
  <c r="CJ26" i="3"/>
  <c r="CK26" i="3"/>
  <c r="CL26" i="3"/>
  <c r="DP26" i="3"/>
  <c r="DR26" i="3"/>
  <c r="DV26" i="3"/>
  <c r="CM26" i="3"/>
  <c r="CN26" i="3"/>
  <c r="DX26" i="3"/>
  <c r="CO26" i="3"/>
  <c r="DZ26" i="3"/>
  <c r="CP26" i="3"/>
  <c r="CQ26" i="3"/>
  <c r="EB26" i="3"/>
  <c r="CR26" i="3"/>
  <c r="CS26" i="3"/>
  <c r="ED26" i="3"/>
  <c r="DN27" i="3"/>
  <c r="DT27" i="3"/>
  <c r="CJ27" i="3"/>
  <c r="CK27" i="3"/>
  <c r="CL27" i="3"/>
  <c r="DP27" i="3"/>
  <c r="DR27" i="3"/>
  <c r="DV27" i="3"/>
  <c r="CM27" i="3"/>
  <c r="CN27" i="3"/>
  <c r="DX27" i="3"/>
  <c r="CO27" i="3"/>
  <c r="DZ27" i="3"/>
  <c r="CP27" i="3"/>
  <c r="CQ27" i="3"/>
  <c r="EB27" i="3"/>
  <c r="CR27" i="3"/>
  <c r="CS27" i="3"/>
  <c r="ED27" i="3"/>
  <c r="DN28" i="3"/>
  <c r="DT28" i="3"/>
  <c r="CJ28" i="3"/>
  <c r="CK28" i="3"/>
  <c r="CL28" i="3"/>
  <c r="DP28" i="3"/>
  <c r="DR28" i="3"/>
  <c r="DV28" i="3"/>
  <c r="CM28" i="3"/>
  <c r="CN28" i="3"/>
  <c r="DX28" i="3"/>
  <c r="CO28" i="3"/>
  <c r="DZ28" i="3"/>
  <c r="CP28" i="3"/>
  <c r="CQ28" i="3"/>
  <c r="EB28" i="3"/>
  <c r="CR28" i="3"/>
  <c r="CS28" i="3"/>
  <c r="ED28" i="3"/>
  <c r="DN30" i="3"/>
  <c r="DT30" i="3"/>
  <c r="CJ30" i="3"/>
  <c r="CK30" i="3"/>
  <c r="CL30" i="3"/>
  <c r="DP30" i="3"/>
  <c r="DR30" i="3"/>
  <c r="DV30" i="3"/>
  <c r="CM30" i="3"/>
  <c r="CN30" i="3"/>
  <c r="DX30" i="3"/>
  <c r="CO30" i="3"/>
  <c r="DZ30" i="3"/>
  <c r="CP30" i="3"/>
  <c r="CQ30" i="3"/>
  <c r="EB30" i="3"/>
  <c r="CR30" i="3"/>
  <c r="CS30" i="3"/>
  <c r="ED30" i="3"/>
  <c r="DN31" i="3"/>
  <c r="DT31" i="3"/>
  <c r="CJ31" i="3"/>
  <c r="CK31" i="3"/>
  <c r="CL31" i="3"/>
  <c r="DP31" i="3"/>
  <c r="DR31" i="3"/>
  <c r="DV31" i="3"/>
  <c r="CM31" i="3"/>
  <c r="CN31" i="3"/>
  <c r="DX31" i="3"/>
  <c r="CO31" i="3"/>
  <c r="DZ31" i="3"/>
  <c r="CP31" i="3"/>
  <c r="CQ31" i="3"/>
  <c r="EB31" i="3"/>
  <c r="CR31" i="3"/>
  <c r="CS31" i="3"/>
  <c r="ED31" i="3"/>
  <c r="DN32" i="3"/>
  <c r="DT32" i="3"/>
  <c r="CJ32" i="3"/>
  <c r="CK32" i="3"/>
  <c r="CL32" i="3"/>
  <c r="DP32" i="3"/>
  <c r="DR32" i="3"/>
  <c r="DV32" i="3"/>
  <c r="CM32" i="3"/>
  <c r="CN32" i="3"/>
  <c r="DX32" i="3"/>
  <c r="CO32" i="3"/>
  <c r="DZ32" i="3"/>
  <c r="CP32" i="3"/>
  <c r="CQ32" i="3"/>
  <c r="EB32" i="3"/>
  <c r="CR32" i="3"/>
  <c r="CS32" i="3"/>
  <c r="ED32" i="3"/>
  <c r="DN33" i="3"/>
  <c r="DT33" i="3"/>
  <c r="CJ33" i="3"/>
  <c r="CK33" i="3"/>
  <c r="CL33" i="3"/>
  <c r="DP33" i="3"/>
  <c r="DR33" i="3"/>
  <c r="DV33" i="3"/>
  <c r="CM33" i="3"/>
  <c r="CN33" i="3"/>
  <c r="DX33" i="3"/>
  <c r="CO33" i="3"/>
  <c r="DZ33" i="3"/>
  <c r="CP33" i="3"/>
  <c r="CQ33" i="3"/>
  <c r="EB33" i="3"/>
  <c r="CR33" i="3"/>
  <c r="CS33" i="3"/>
  <c r="ED33" i="3"/>
  <c r="DN34" i="3"/>
  <c r="DT34" i="3"/>
  <c r="CJ34" i="3"/>
  <c r="CK34" i="3"/>
  <c r="CL34" i="3"/>
  <c r="DP34" i="3"/>
  <c r="DR34" i="3"/>
  <c r="DV34" i="3"/>
  <c r="CM34" i="3"/>
  <c r="CN34" i="3"/>
  <c r="DX34" i="3"/>
  <c r="CO34" i="3"/>
  <c r="DZ34" i="3"/>
  <c r="CP34" i="3"/>
  <c r="CQ34" i="3"/>
  <c r="EB34" i="3"/>
  <c r="CR34" i="3"/>
  <c r="CS34" i="3"/>
  <c r="ED34" i="3"/>
  <c r="CJ35" i="3"/>
  <c r="CK35" i="3"/>
  <c r="CL35" i="3"/>
  <c r="CM35" i="3"/>
  <c r="CN35" i="3"/>
  <c r="CO35" i="3"/>
  <c r="CP35" i="3"/>
  <c r="CQ35" i="3"/>
  <c r="CR35" i="3"/>
  <c r="CS35" i="3"/>
  <c r="DL34" i="3"/>
  <c r="DL33" i="3"/>
  <c r="DL32" i="3"/>
  <c r="DL31" i="3"/>
  <c r="DL30" i="3"/>
  <c r="DL28" i="3"/>
  <c r="DL27" i="3"/>
  <c r="DL26" i="3"/>
  <c r="DL20" i="3"/>
  <c r="DL19" i="3"/>
  <c r="DL16" i="3"/>
  <c r="DL9" i="3"/>
  <c r="CI29" i="3"/>
  <c r="CI25" i="3"/>
  <c r="CI14" i="3"/>
  <c r="CC9" i="3"/>
  <c r="CD9" i="3"/>
  <c r="CE9" i="3"/>
  <c r="CF9" i="3"/>
  <c r="CC15" i="3"/>
  <c r="CD15" i="3"/>
  <c r="CE15" i="3"/>
  <c r="CF15" i="3"/>
  <c r="CC16" i="3"/>
  <c r="CD16" i="3"/>
  <c r="CE16" i="3"/>
  <c r="CF16" i="3"/>
  <c r="CC17" i="3"/>
  <c r="CD17" i="3"/>
  <c r="CE17" i="3"/>
  <c r="CF17" i="3"/>
  <c r="CC18" i="3"/>
  <c r="CD18" i="3"/>
  <c r="CE18" i="3"/>
  <c r="CF18" i="3"/>
  <c r="CC19" i="3"/>
  <c r="CD19" i="3"/>
  <c r="CE19" i="3"/>
  <c r="CF19" i="3"/>
  <c r="CC20" i="3"/>
  <c r="CD20" i="3"/>
  <c r="CE20" i="3"/>
  <c r="CF20" i="3"/>
  <c r="CC21" i="3"/>
  <c r="CD21" i="3"/>
  <c r="CE21" i="3"/>
  <c r="CF21" i="3"/>
  <c r="CC26" i="3"/>
  <c r="CD26" i="3"/>
  <c r="CE26" i="3"/>
  <c r="CF26" i="3"/>
  <c r="CC27" i="3"/>
  <c r="CD27" i="3"/>
  <c r="CE27" i="3"/>
  <c r="CF27" i="3"/>
  <c r="CC28" i="3"/>
  <c r="CD28" i="3"/>
  <c r="CE28" i="3"/>
  <c r="CF28" i="3"/>
  <c r="CC30" i="3"/>
  <c r="CD30" i="3"/>
  <c r="CE30" i="3"/>
  <c r="CF30" i="3"/>
  <c r="CC31" i="3"/>
  <c r="CD31" i="3"/>
  <c r="CE31" i="3"/>
  <c r="CF31" i="3"/>
  <c r="CC32" i="3"/>
  <c r="CD32" i="3"/>
  <c r="CE32" i="3"/>
  <c r="CF32" i="3"/>
  <c r="CC33" i="3"/>
  <c r="CD33" i="3"/>
  <c r="CE33" i="3"/>
  <c r="CF33" i="3"/>
  <c r="CC34" i="3"/>
  <c r="CD34" i="3"/>
  <c r="CE34" i="3"/>
  <c r="CF34" i="3"/>
  <c r="CC35" i="3"/>
  <c r="CD35" i="3"/>
  <c r="CE35" i="3"/>
  <c r="CF35" i="3"/>
  <c r="CB21" i="3"/>
  <c r="CB17" i="3"/>
  <c r="CB35" i="3"/>
  <c r="CB34" i="3"/>
  <c r="CB33" i="3"/>
  <c r="CB32" i="3"/>
  <c r="CB31" i="3"/>
  <c r="CB30" i="3"/>
  <c r="CB28" i="3"/>
  <c r="CB27" i="3"/>
  <c r="CB26" i="3"/>
  <c r="CB20" i="3"/>
  <c r="CB19" i="3"/>
  <c r="CB18" i="3"/>
  <c r="CB16" i="3"/>
  <c r="CB15" i="3"/>
  <c r="EP36" i="3"/>
  <c r="EP37" i="3" s="1"/>
  <c r="CB36" i="3"/>
  <c r="CB9" i="3"/>
  <c r="CA29" i="3"/>
  <c r="CA25" i="3"/>
  <c r="CA14" i="3"/>
  <c r="CC36" i="3" l="1"/>
  <c r="CD36" i="3" s="1"/>
  <c r="CE36" i="3" s="1"/>
  <c r="CF36" i="3" s="1"/>
  <c r="CF25" i="3"/>
  <c r="CF14" i="3"/>
  <c r="CC14" i="3"/>
  <c r="CS25" i="3"/>
  <c r="CP25" i="3"/>
  <c r="CN25" i="3"/>
  <c r="DP25" i="3"/>
  <c r="DT25" i="3"/>
  <c r="CR25" i="3"/>
  <c r="DZ25" i="3"/>
  <c r="CM25" i="3"/>
  <c r="CL25" i="3"/>
  <c r="DN25" i="3"/>
  <c r="CF29" i="3"/>
  <c r="CC29" i="3"/>
  <c r="CC25" i="3"/>
  <c r="CD25" i="3"/>
  <c r="CE29" i="3"/>
  <c r="CR29" i="3"/>
  <c r="CM29" i="3"/>
  <c r="DN29" i="3"/>
  <c r="CR14" i="3"/>
  <c r="CM14" i="3"/>
  <c r="CL14" i="3"/>
  <c r="CD29" i="3"/>
  <c r="CD14" i="3"/>
  <c r="EB29" i="3"/>
  <c r="DV29" i="3"/>
  <c r="CQ14" i="3"/>
  <c r="DR14" i="3"/>
  <c r="CO14" i="3"/>
  <c r="CK14" i="3"/>
  <c r="CS29" i="3"/>
  <c r="CP29" i="3"/>
  <c r="CN29" i="3"/>
  <c r="DP29" i="3"/>
  <c r="DT29" i="3"/>
  <c r="ED29" i="3"/>
  <c r="CQ29" i="3"/>
  <c r="DX29" i="3"/>
  <c r="DR29" i="3"/>
  <c r="CJ29" i="3"/>
  <c r="EB25" i="3"/>
  <c r="CO25" i="3"/>
  <c r="DV25" i="3"/>
  <c r="CK25" i="3"/>
  <c r="CE14" i="3"/>
  <c r="DZ29" i="3"/>
  <c r="CL29" i="3"/>
  <c r="DZ14" i="3"/>
  <c r="DN14" i="3"/>
  <c r="CO29" i="3"/>
  <c r="CK29" i="3"/>
  <c r="ED14" i="3"/>
  <c r="DX14" i="3"/>
  <c r="CJ14" i="3"/>
  <c r="EB14" i="3"/>
  <c r="DV14" i="3"/>
  <c r="CE25" i="3"/>
  <c r="ED25" i="3"/>
  <c r="CQ25" i="3"/>
  <c r="DX25" i="3"/>
  <c r="DR25" i="3"/>
  <c r="CJ25" i="3"/>
  <c r="CS14" i="3"/>
  <c r="CP14" i="3"/>
  <c r="CN14" i="3"/>
  <c r="DP14" i="3"/>
  <c r="DT14" i="3"/>
  <c r="EN39" i="3"/>
  <c r="DL29" i="3"/>
  <c r="DL25" i="3"/>
  <c r="DL14" i="3"/>
  <c r="CB29" i="3"/>
  <c r="CB25" i="3"/>
  <c r="BU15" i="3"/>
  <c r="BV15" i="3"/>
  <c r="BW15" i="3"/>
  <c r="BX15" i="3"/>
  <c r="BU16" i="3"/>
  <c r="BV16" i="3"/>
  <c r="BW16" i="3"/>
  <c r="BX16" i="3"/>
  <c r="BU17" i="3"/>
  <c r="BV17" i="3"/>
  <c r="BW17" i="3"/>
  <c r="BX17" i="3"/>
  <c r="BU18" i="3"/>
  <c r="BV18" i="3"/>
  <c r="BW18" i="3"/>
  <c r="BX18" i="3"/>
  <c r="BU19" i="3"/>
  <c r="BV19" i="3"/>
  <c r="BW19" i="3"/>
  <c r="BX19" i="3"/>
  <c r="BU20" i="3"/>
  <c r="BV20" i="3"/>
  <c r="BW20" i="3"/>
  <c r="BX20" i="3"/>
  <c r="BU26" i="3"/>
  <c r="BV26" i="3"/>
  <c r="BW26" i="3"/>
  <c r="BX26" i="3"/>
  <c r="BU27" i="3"/>
  <c r="BV27" i="3"/>
  <c r="BW27" i="3"/>
  <c r="BX27" i="3"/>
  <c r="BU28" i="3"/>
  <c r="BV28" i="3"/>
  <c r="BW28" i="3"/>
  <c r="BX28" i="3"/>
  <c r="BU31" i="3"/>
  <c r="BV31" i="3"/>
  <c r="BW31" i="3"/>
  <c r="BX31" i="3"/>
  <c r="BU32" i="3"/>
  <c r="BV32" i="3"/>
  <c r="BW32" i="3"/>
  <c r="BX32" i="3"/>
  <c r="BU33" i="3"/>
  <c r="BV33" i="3"/>
  <c r="BW33" i="3"/>
  <c r="BX33" i="3"/>
  <c r="BU34" i="3"/>
  <c r="BV34" i="3"/>
  <c r="BW34" i="3"/>
  <c r="BX34" i="3"/>
  <c r="BU35" i="3"/>
  <c r="BV35" i="3"/>
  <c r="BW35" i="3"/>
  <c r="BX35" i="3"/>
  <c r="BT30" i="3"/>
  <c r="BT29" i="3" s="1"/>
  <c r="BT25" i="3"/>
  <c r="BT14" i="3"/>
  <c r="DL37" i="3" l="1"/>
  <c r="CO37" i="3"/>
  <c r="CF37" i="3"/>
  <c r="DZ37" i="3"/>
  <c r="DX37" i="3"/>
  <c r="DV37" i="3"/>
  <c r="CM37" i="3"/>
  <c r="CQ37" i="3"/>
  <c r="CN37" i="3"/>
  <c r="EB37" i="3"/>
  <c r="CR37" i="3"/>
  <c r="CC37" i="3"/>
  <c r="CJ37" i="3"/>
  <c r="ED37" i="3"/>
  <c r="CP37" i="3"/>
  <c r="CE37" i="3"/>
  <c r="DP37" i="3"/>
  <c r="CK37" i="3"/>
  <c r="CL37" i="3"/>
  <c r="DR37" i="3"/>
  <c r="DT37" i="3"/>
  <c r="CS37" i="3"/>
  <c r="CD37" i="3"/>
  <c r="DN37" i="3"/>
  <c r="BV30" i="3"/>
  <c r="BV29" i="3" s="1"/>
  <c r="BV14" i="3"/>
  <c r="BU25" i="3"/>
  <c r="BU14" i="3"/>
  <c r="BX30" i="3"/>
  <c r="BX29" i="3" s="1"/>
  <c r="BX25" i="3"/>
  <c r="BX14" i="3"/>
  <c r="BV25" i="3"/>
  <c r="BU30" i="3"/>
  <c r="BU29" i="3" s="1"/>
  <c r="BW30" i="3"/>
  <c r="BW29" i="3" s="1"/>
  <c r="BW25" i="3"/>
  <c r="BW14" i="3"/>
  <c r="BU9" i="3"/>
  <c r="BW9" i="3"/>
  <c r="BX9" i="3"/>
  <c r="BV9" i="3"/>
  <c r="BW37" i="3" l="1"/>
  <c r="BU37" i="3"/>
  <c r="BX37" i="3"/>
  <c r="BV37" i="3"/>
  <c r="DL39" i="3"/>
  <c r="D35" i="3" l="1"/>
  <c r="F9" i="3" l="1"/>
  <c r="G9" i="3"/>
  <c r="H9" i="3"/>
  <c r="J9" i="3"/>
  <c r="K9" i="3"/>
  <c r="L9" i="3"/>
  <c r="N9" i="3"/>
  <c r="O9" i="3"/>
  <c r="P9" i="3"/>
  <c r="Q9" i="3"/>
  <c r="S9" i="3"/>
  <c r="U9" i="3"/>
  <c r="V9" i="3"/>
  <c r="X9" i="3"/>
  <c r="Y9" i="3"/>
  <c r="AB9" i="3"/>
  <c r="AC9" i="3"/>
  <c r="AD9" i="3"/>
  <c r="AF9" i="3"/>
  <c r="AG9" i="3"/>
  <c r="AH9" i="3"/>
  <c r="AJ9" i="3"/>
  <c r="AK9" i="3"/>
  <c r="AL9" i="3"/>
  <c r="AN9" i="3"/>
  <c r="AP9" i="3"/>
  <c r="AQ9" i="3"/>
  <c r="AR9" i="3"/>
  <c r="AT9" i="3"/>
  <c r="AU9" i="3"/>
  <c r="AV9" i="3"/>
  <c r="AW9" i="3"/>
  <c r="AX9" i="3"/>
  <c r="AY9" i="3"/>
  <c r="AZ9" i="3"/>
  <c r="BA9" i="3"/>
  <c r="BC9" i="3"/>
  <c r="BD9" i="3"/>
  <c r="BE9" i="3"/>
  <c r="BF9" i="3"/>
  <c r="BH9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U15" i="3"/>
  <c r="V15" i="3"/>
  <c r="W15" i="3"/>
  <c r="X15" i="3"/>
  <c r="Y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U16" i="3"/>
  <c r="V16" i="3"/>
  <c r="W16" i="3"/>
  <c r="X16" i="3"/>
  <c r="Y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BQ16" i="3"/>
  <c r="AY16" i="3"/>
  <c r="AZ16" i="3"/>
  <c r="BA16" i="3"/>
  <c r="BB16" i="3"/>
  <c r="BC16" i="3"/>
  <c r="BD16" i="3"/>
  <c r="BE16" i="3"/>
  <c r="BF16" i="3"/>
  <c r="BG16" i="3"/>
  <c r="BH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U17" i="3"/>
  <c r="V17" i="3"/>
  <c r="W17" i="3"/>
  <c r="X17" i="3"/>
  <c r="Y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U18" i="3"/>
  <c r="V18" i="3"/>
  <c r="W18" i="3"/>
  <c r="X18" i="3"/>
  <c r="Y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U19" i="3"/>
  <c r="V19" i="3"/>
  <c r="W19" i="3"/>
  <c r="X19" i="3"/>
  <c r="Y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BQ19" i="3"/>
  <c r="AY19" i="3"/>
  <c r="AZ19" i="3"/>
  <c r="BA19" i="3"/>
  <c r="BB19" i="3"/>
  <c r="BC19" i="3"/>
  <c r="BD19" i="3"/>
  <c r="BE19" i="3"/>
  <c r="BF19" i="3"/>
  <c r="BG19" i="3"/>
  <c r="BH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U20" i="3"/>
  <c r="V20" i="3"/>
  <c r="W20" i="3"/>
  <c r="X20" i="3"/>
  <c r="Y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BQ20" i="3"/>
  <c r="AY20" i="3"/>
  <c r="AZ20" i="3"/>
  <c r="BA20" i="3"/>
  <c r="BB20" i="3"/>
  <c r="BC20" i="3"/>
  <c r="BD20" i="3"/>
  <c r="BE20" i="3"/>
  <c r="BF20" i="3"/>
  <c r="BG20" i="3"/>
  <c r="BH20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U26" i="3"/>
  <c r="V26" i="3"/>
  <c r="W26" i="3"/>
  <c r="X26" i="3"/>
  <c r="Y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BQ26" i="3"/>
  <c r="AY26" i="3"/>
  <c r="AZ26" i="3"/>
  <c r="BA26" i="3"/>
  <c r="BB26" i="3"/>
  <c r="BC26" i="3"/>
  <c r="BD26" i="3"/>
  <c r="BE26" i="3"/>
  <c r="BF26" i="3"/>
  <c r="BG26" i="3"/>
  <c r="BH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U27" i="3"/>
  <c r="V27" i="3"/>
  <c r="W27" i="3"/>
  <c r="X27" i="3"/>
  <c r="Y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BQ27" i="3"/>
  <c r="AY27" i="3"/>
  <c r="AZ27" i="3"/>
  <c r="BA27" i="3"/>
  <c r="BB27" i="3"/>
  <c r="BC27" i="3"/>
  <c r="BD27" i="3"/>
  <c r="BE27" i="3"/>
  <c r="BF27" i="3"/>
  <c r="BG27" i="3"/>
  <c r="BH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U28" i="3"/>
  <c r="V28" i="3"/>
  <c r="W28" i="3"/>
  <c r="X28" i="3"/>
  <c r="Y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BQ28" i="3"/>
  <c r="AY28" i="3"/>
  <c r="AZ28" i="3"/>
  <c r="BA28" i="3"/>
  <c r="BB28" i="3"/>
  <c r="BC28" i="3"/>
  <c r="BD28" i="3"/>
  <c r="BE28" i="3"/>
  <c r="BF28" i="3"/>
  <c r="BG28" i="3"/>
  <c r="BH28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U30" i="3"/>
  <c r="V30" i="3"/>
  <c r="W30" i="3"/>
  <c r="X30" i="3"/>
  <c r="Y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BQ30" i="3"/>
  <c r="AY30" i="3"/>
  <c r="AZ30" i="3"/>
  <c r="BA30" i="3"/>
  <c r="BB30" i="3"/>
  <c r="BC30" i="3"/>
  <c r="BD30" i="3"/>
  <c r="BE30" i="3"/>
  <c r="BF30" i="3"/>
  <c r="BG30" i="3"/>
  <c r="BH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U31" i="3"/>
  <c r="V31" i="3"/>
  <c r="W31" i="3"/>
  <c r="X31" i="3"/>
  <c r="Y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BQ31" i="3"/>
  <c r="AY31" i="3"/>
  <c r="AZ31" i="3"/>
  <c r="BA31" i="3"/>
  <c r="BB31" i="3"/>
  <c r="BC31" i="3"/>
  <c r="BD31" i="3"/>
  <c r="BE31" i="3"/>
  <c r="BF31" i="3"/>
  <c r="BG31" i="3"/>
  <c r="BH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U32" i="3"/>
  <c r="V32" i="3"/>
  <c r="W32" i="3"/>
  <c r="X32" i="3"/>
  <c r="Y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BQ32" i="3"/>
  <c r="AY32" i="3"/>
  <c r="AZ32" i="3"/>
  <c r="BA32" i="3"/>
  <c r="BB32" i="3"/>
  <c r="BC32" i="3"/>
  <c r="BD32" i="3"/>
  <c r="BE32" i="3"/>
  <c r="BF32" i="3"/>
  <c r="BG32" i="3"/>
  <c r="BH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U33" i="3"/>
  <c r="V33" i="3"/>
  <c r="W33" i="3"/>
  <c r="X33" i="3"/>
  <c r="Y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BQ33" i="3"/>
  <c r="AY33" i="3"/>
  <c r="AZ33" i="3"/>
  <c r="BA33" i="3"/>
  <c r="BB33" i="3"/>
  <c r="BC33" i="3"/>
  <c r="BD33" i="3"/>
  <c r="BE33" i="3"/>
  <c r="BF33" i="3"/>
  <c r="BG33" i="3"/>
  <c r="BH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U34" i="3"/>
  <c r="V34" i="3"/>
  <c r="W34" i="3"/>
  <c r="X34" i="3"/>
  <c r="Y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BQ34" i="3"/>
  <c r="AY34" i="3"/>
  <c r="AZ34" i="3"/>
  <c r="BA34" i="3"/>
  <c r="BB34" i="3"/>
  <c r="BC34" i="3"/>
  <c r="BD34" i="3"/>
  <c r="BE34" i="3"/>
  <c r="BF34" i="3"/>
  <c r="BG34" i="3"/>
  <c r="BH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U35" i="3"/>
  <c r="V35" i="3"/>
  <c r="W35" i="3"/>
  <c r="X35" i="3"/>
  <c r="Y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D34" i="3"/>
  <c r="D33" i="3"/>
  <c r="D32" i="3"/>
  <c r="D31" i="3"/>
  <c r="D30" i="3"/>
  <c r="D28" i="3"/>
  <c r="D27" i="3"/>
  <c r="D26" i="3"/>
  <c r="D20" i="3"/>
  <c r="D19" i="3"/>
  <c r="D18" i="3"/>
  <c r="D17" i="3"/>
  <c r="D16" i="3"/>
  <c r="D15" i="3"/>
  <c r="C29" i="3"/>
  <c r="C25" i="3"/>
  <c r="C14" i="3"/>
  <c r="D25" i="3" l="1"/>
  <c r="BQ25" i="3"/>
  <c r="AO25" i="3"/>
  <c r="AM25" i="3"/>
  <c r="AA25" i="3"/>
  <c r="W25" i="3"/>
  <c r="R25" i="3"/>
  <c r="M25" i="3"/>
  <c r="D29" i="3"/>
  <c r="BB29" i="3"/>
  <c r="AA29" i="3"/>
  <c r="BG25" i="3"/>
  <c r="BB25" i="3"/>
  <c r="AS25" i="3"/>
  <c r="AI25" i="3"/>
  <c r="AE25" i="3"/>
  <c r="I25" i="3"/>
  <c r="BG29" i="3"/>
  <c r="BQ29" i="3"/>
  <c r="AS29" i="3"/>
  <c r="AO29" i="3"/>
  <c r="AM29" i="3"/>
  <c r="AI29" i="3"/>
  <c r="AE29" i="3"/>
  <c r="W29" i="3"/>
  <c r="R29" i="3"/>
  <c r="M29" i="3"/>
  <c r="I29" i="3"/>
  <c r="BH14" i="3"/>
  <c r="BE14" i="3"/>
  <c r="BA14" i="3"/>
  <c r="AX14" i="3"/>
  <c r="AV14" i="3"/>
  <c r="AR14" i="3"/>
  <c r="AN14" i="3"/>
  <c r="AL14" i="3"/>
  <c r="AD14" i="3"/>
  <c r="Y14" i="3"/>
  <c r="V14" i="3"/>
  <c r="L14" i="3"/>
  <c r="H14" i="3"/>
  <c r="E14" i="3"/>
  <c r="BH25" i="3"/>
  <c r="BE25" i="3"/>
  <c r="BA25" i="3"/>
  <c r="AX25" i="3"/>
  <c r="AV25" i="3"/>
  <c r="AR25" i="3"/>
  <c r="AN25" i="3"/>
  <c r="AL25" i="3"/>
  <c r="AD25" i="3"/>
  <c r="Y25" i="3"/>
  <c r="V25" i="3"/>
  <c r="L25" i="3"/>
  <c r="H25" i="3"/>
  <c r="E25" i="3"/>
  <c r="E9" i="3"/>
  <c r="AH14" i="3"/>
  <c r="AH25" i="3"/>
  <c r="BH29" i="3"/>
  <c r="BE29" i="3"/>
  <c r="BF29" i="3"/>
  <c r="BC29" i="3"/>
  <c r="AY29" i="3"/>
  <c r="AW29" i="3"/>
  <c r="AT29" i="3"/>
  <c r="AP29" i="3"/>
  <c r="AJ29" i="3"/>
  <c r="AF29" i="3"/>
  <c r="AB29" i="3"/>
  <c r="U29" i="3"/>
  <c r="S29" i="3"/>
  <c r="P29" i="3"/>
  <c r="N29" i="3"/>
  <c r="J29" i="3"/>
  <c r="F29" i="3"/>
  <c r="BD29" i="3"/>
  <c r="AZ29" i="3"/>
  <c r="AU29" i="3"/>
  <c r="AQ29" i="3"/>
  <c r="AK29" i="3"/>
  <c r="AG29" i="3"/>
  <c r="AC29" i="3"/>
  <c r="X29" i="3"/>
  <c r="Q29" i="3"/>
  <c r="O29" i="3"/>
  <c r="K29" i="3"/>
  <c r="G29" i="3"/>
  <c r="BA29" i="3"/>
  <c r="BD14" i="3"/>
  <c r="AZ14" i="3"/>
  <c r="AU14" i="3"/>
  <c r="AQ14" i="3"/>
  <c r="AK14" i="3"/>
  <c r="AG14" i="3"/>
  <c r="AC14" i="3"/>
  <c r="X14" i="3"/>
  <c r="Q14" i="3"/>
  <c r="O14" i="3"/>
  <c r="K14" i="3"/>
  <c r="G14" i="3"/>
  <c r="BF14" i="3"/>
  <c r="BC14" i="3"/>
  <c r="AY14" i="3"/>
  <c r="AW14" i="3"/>
  <c r="AT14" i="3"/>
  <c r="AP14" i="3"/>
  <c r="AJ14" i="3"/>
  <c r="AF14" i="3"/>
  <c r="AB14" i="3"/>
  <c r="U14" i="3"/>
  <c r="S14" i="3"/>
  <c r="P14" i="3"/>
  <c r="N14" i="3"/>
  <c r="J14" i="3"/>
  <c r="F14" i="3"/>
  <c r="BG9" i="3"/>
  <c r="BB9" i="3"/>
  <c r="BQ9" i="3"/>
  <c r="AS9" i="3"/>
  <c r="AO9" i="3"/>
  <c r="AM9" i="3"/>
  <c r="AI9" i="3"/>
  <c r="AE9" i="3"/>
  <c r="AA9" i="3"/>
  <c r="W9" i="3"/>
  <c r="R9" i="3"/>
  <c r="M9" i="3"/>
  <c r="I9" i="3"/>
  <c r="AX29" i="3"/>
  <c r="AV29" i="3"/>
  <c r="AR29" i="3"/>
  <c r="AN29" i="3"/>
  <c r="AL29" i="3"/>
  <c r="AH29" i="3"/>
  <c r="AD29" i="3"/>
  <c r="Y29" i="3"/>
  <c r="V29" i="3"/>
  <c r="L29" i="3"/>
  <c r="H29" i="3"/>
  <c r="E29" i="3"/>
  <c r="BF25" i="3"/>
  <c r="BC25" i="3"/>
  <c r="AY25" i="3"/>
  <c r="AW25" i="3"/>
  <c r="AT25" i="3"/>
  <c r="AP25" i="3"/>
  <c r="AJ25" i="3"/>
  <c r="AF25" i="3"/>
  <c r="AB25" i="3"/>
  <c r="U25" i="3"/>
  <c r="S25" i="3"/>
  <c r="P25" i="3"/>
  <c r="N25" i="3"/>
  <c r="J25" i="3"/>
  <c r="F25" i="3"/>
  <c r="BD25" i="3"/>
  <c r="AZ25" i="3"/>
  <c r="AU25" i="3"/>
  <c r="AQ25" i="3"/>
  <c r="AK25" i="3"/>
  <c r="AG25" i="3"/>
  <c r="AC25" i="3"/>
  <c r="X25" i="3"/>
  <c r="Q25" i="3"/>
  <c r="O25" i="3"/>
  <c r="K25" i="3"/>
  <c r="G25" i="3"/>
  <c r="BG14" i="3"/>
  <c r="BB14" i="3"/>
  <c r="BQ14" i="3"/>
  <c r="AS14" i="3"/>
  <c r="AO14" i="3"/>
  <c r="AM14" i="3"/>
  <c r="AI14" i="3"/>
  <c r="AE14" i="3"/>
  <c r="AA14" i="3"/>
  <c r="W14" i="3"/>
  <c r="R14" i="3"/>
  <c r="M14" i="3"/>
  <c r="I14" i="3"/>
  <c r="AV37" i="3" l="1"/>
  <c r="V37" i="3"/>
  <c r="AN37" i="3"/>
  <c r="BA37" i="3"/>
  <c r="H37" i="3"/>
  <c r="AD37" i="3"/>
  <c r="BH37" i="3"/>
  <c r="AH37" i="3"/>
  <c r="AR37" i="3"/>
  <c r="G37" i="3"/>
  <c r="F37" i="3"/>
  <c r="L37" i="3"/>
  <c r="K37" i="3"/>
  <c r="AC37" i="3"/>
  <c r="AU37" i="3"/>
  <c r="J37" i="3"/>
  <c r="U37" i="3"/>
  <c r="AP37" i="3"/>
  <c r="BC37" i="3"/>
  <c r="X37" i="3"/>
  <c r="S37" i="3"/>
  <c r="AY37" i="3"/>
  <c r="AL37" i="3"/>
  <c r="AX37" i="3"/>
  <c r="O37" i="3"/>
  <c r="AG37" i="3"/>
  <c r="AZ37" i="3"/>
  <c r="N37" i="3"/>
  <c r="AB37" i="3"/>
  <c r="AT37" i="3"/>
  <c r="BF37" i="3"/>
  <c r="AQ37" i="3"/>
  <c r="AJ37" i="3"/>
  <c r="Y37" i="3"/>
  <c r="Q37" i="3"/>
  <c r="AK37" i="3"/>
  <c r="BD37" i="3"/>
  <c r="P37" i="3"/>
  <c r="AF37" i="3"/>
  <c r="AW37" i="3"/>
  <c r="BE37" i="3"/>
  <c r="R37" i="3"/>
  <c r="AI37" i="3"/>
  <c r="BQ37" i="3"/>
  <c r="W37" i="3"/>
  <c r="AM37" i="3"/>
  <c r="BB37" i="3"/>
  <c r="I37" i="3"/>
  <c r="AA37" i="3"/>
  <c r="AO37" i="3"/>
  <c r="BG37" i="3"/>
  <c r="E37" i="3"/>
  <c r="M37" i="3"/>
  <c r="AE37" i="3"/>
  <c r="AS37" i="3"/>
  <c r="ER39" i="3"/>
  <c r="EO39" i="3"/>
  <c r="CJ39" i="3" l="1"/>
  <c r="CQ39" i="3"/>
  <c r="DR39" i="3"/>
  <c r="CP39" i="3" l="1"/>
  <c r="CO39" i="3"/>
  <c r="DV39" i="3"/>
  <c r="CK39" i="3"/>
  <c r="H39" i="3"/>
  <c r="DN39" i="3"/>
  <c r="CS39" i="3"/>
  <c r="CL39" i="3"/>
  <c r="DX39" i="3"/>
  <c r="CN39" i="3"/>
  <c r="CM39" i="3"/>
  <c r="DT39" i="3"/>
  <c r="DP39" i="3"/>
  <c r="DZ39" i="3"/>
  <c r="CR39" i="3"/>
  <c r="L39" i="3"/>
  <c r="F39" i="3"/>
  <c r="CD39" i="3"/>
  <c r="J39" i="3"/>
  <c r="CC39" i="3"/>
  <c r="EX39" i="3"/>
  <c r="CF39" i="3"/>
  <c r="CE39" i="3"/>
  <c r="N39" i="3" l="1"/>
  <c r="D14" i="3" l="1"/>
  <c r="P39" i="3" l="1"/>
  <c r="S39" i="3" l="1"/>
  <c r="CU39" i="3" l="1"/>
  <c r="U39" i="3" l="1"/>
  <c r="V39" i="3" l="1"/>
  <c r="DF39" i="3" l="1"/>
  <c r="Y39" i="3" l="1"/>
  <c r="AB39" i="3" l="1"/>
  <c r="AD39" i="3" l="1"/>
  <c r="AH39" i="3" l="1"/>
  <c r="AJ39" i="3" l="1"/>
  <c r="AL39" i="3" l="1"/>
  <c r="AN39" i="3" l="1"/>
  <c r="AP39" i="3" l="1"/>
  <c r="AR39" i="3" l="1"/>
  <c r="AT39" i="3" l="1"/>
  <c r="AV39" i="3" l="1"/>
  <c r="BW39" i="3" l="1"/>
  <c r="AW39" i="3"/>
  <c r="BU39" i="3" l="1"/>
  <c r="AX39" i="3"/>
  <c r="AY39" i="3" l="1"/>
  <c r="BA39" i="3" l="1"/>
  <c r="BC39" i="3" l="1"/>
  <c r="CX39" i="3" l="1"/>
  <c r="CZ39" i="3" l="1"/>
  <c r="BE39" i="3" l="1"/>
  <c r="BF39" i="3" l="1"/>
  <c r="DB39" i="3" l="1"/>
  <c r="BH39" i="3" l="1"/>
  <c r="DE39" i="3"/>
  <c r="E39" i="3" l="1"/>
  <c r="G39" i="3"/>
  <c r="CT39" i="3"/>
  <c r="I39" i="3" l="1"/>
  <c r="K39" i="3" l="1"/>
  <c r="M39" i="3" l="1"/>
  <c r="O39" i="3" l="1"/>
  <c r="Q39" i="3" l="1"/>
  <c r="R39" i="3" l="1"/>
  <c r="W39" i="3" l="1"/>
  <c r="X39" i="3" l="1"/>
  <c r="AA39" i="3" l="1"/>
  <c r="AC39" i="3" l="1"/>
  <c r="AE39" i="3" l="1"/>
  <c r="AG39" i="3" l="1"/>
  <c r="AI39" i="3" l="1"/>
  <c r="AK39" i="3" l="1"/>
  <c r="AM39" i="3" l="1"/>
  <c r="CV39" i="3" l="1"/>
  <c r="AO39" i="3" l="1"/>
  <c r="AQ39" i="3" l="1"/>
  <c r="AS39" i="3" l="1"/>
  <c r="AU39" i="3" l="1"/>
  <c r="CW39" i="3" l="1"/>
  <c r="BQ39" i="3" l="1"/>
  <c r="AZ39" i="3" l="1"/>
  <c r="BB39" i="3" l="1"/>
  <c r="EF39" i="3" l="1"/>
  <c r="CY39" i="3" l="1"/>
  <c r="BD39" i="3" l="1"/>
  <c r="DA39" i="3" l="1"/>
  <c r="EH39" i="3" l="1"/>
  <c r="DD39" i="3" l="1"/>
  <c r="DC39" i="3" l="1"/>
  <c r="BG39" i="3" l="1"/>
  <c r="EJ39" i="3" l="1"/>
  <c r="D9" i="3" l="1"/>
  <c r="D37" i="3" s="1"/>
  <c r="D39" i="3" l="1"/>
  <c r="AF39" i="3" l="1"/>
  <c r="BV39" i="3"/>
  <c r="BX39" i="3"/>
  <c r="EP39" i="3"/>
  <c r="CB14" i="3"/>
  <c r="CB37" i="3" s="1"/>
  <c r="EB39" i="3"/>
  <c r="EV39" i="3"/>
  <c r="FB29" i="3"/>
  <c r="FB37" i="3" s="1"/>
  <c r="CB39" i="3" l="1"/>
  <c r="FB39" i="3"/>
  <c r="ED39" i="3" l="1"/>
  <c r="FH14" i="3" l="1"/>
  <c r="FH37" i="3" s="1"/>
  <c r="FI37" i="3" s="1"/>
  <c r="FH39" i="3" l="1"/>
  <c r="FJ37" i="3"/>
  <c r="FK37" i="3" s="1"/>
</calcChain>
</file>

<file path=xl/sharedStrings.xml><?xml version="1.0" encoding="utf-8"?>
<sst xmlns="http://schemas.openxmlformats.org/spreadsheetml/2006/main" count="627" uniqueCount="232">
  <si>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</si>
  <si>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</si>
  <si>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</si>
  <si>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</si>
  <si>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</si>
  <si>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</si>
  <si>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</si>
  <si>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</si>
  <si>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</si>
  <si>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</si>
  <si>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</si>
  <si>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</si>
  <si>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</si>
  <si>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</si>
  <si>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</si>
  <si>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</si>
  <si>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</si>
  <si>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</si>
  <si>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</si>
  <si>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</si>
  <si>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</si>
  <si>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</si>
  <si>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</si>
  <si>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</si>
  <si>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</si>
  <si>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12</t>
  </si>
  <si>
    <t>46</t>
  </si>
  <si>
    <t>20</t>
  </si>
  <si>
    <t>Кольская ул.</t>
  </si>
  <si>
    <t>17</t>
  </si>
  <si>
    <t>18</t>
  </si>
  <si>
    <t>19</t>
  </si>
  <si>
    <t>21</t>
  </si>
  <si>
    <t>22</t>
  </si>
  <si>
    <t>Пушкинская ул.</t>
  </si>
  <si>
    <t>4,2</t>
  </si>
  <si>
    <t>Добролюбова ул.</t>
  </si>
  <si>
    <t>16</t>
  </si>
  <si>
    <t>Ильича ул.</t>
  </si>
  <si>
    <t>50,3</t>
  </si>
  <si>
    <t>50,2</t>
  </si>
  <si>
    <t>50</t>
  </si>
  <si>
    <t>4</t>
  </si>
  <si>
    <t>18,1</t>
  </si>
  <si>
    <t>Каботажная ул.</t>
  </si>
  <si>
    <t>7</t>
  </si>
  <si>
    <t>Кутузова И.М. ул.</t>
  </si>
  <si>
    <t>1</t>
  </si>
  <si>
    <t>11</t>
  </si>
  <si>
    <t>Партизанская ул.</t>
  </si>
  <si>
    <t>3</t>
  </si>
  <si>
    <t>12,1</t>
  </si>
  <si>
    <t>12,2</t>
  </si>
  <si>
    <t>5</t>
  </si>
  <si>
    <t>9</t>
  </si>
  <si>
    <t>Репина ул.</t>
  </si>
  <si>
    <t>14</t>
  </si>
  <si>
    <t>16,1</t>
  </si>
  <si>
    <t>Титова ул.</t>
  </si>
  <si>
    <t>6</t>
  </si>
  <si>
    <t>13</t>
  </si>
  <si>
    <t>15,1</t>
  </si>
  <si>
    <t>Тельмана ул.</t>
  </si>
  <si>
    <t>Ударников, ул.</t>
  </si>
  <si>
    <t>Титова, ул.</t>
  </si>
  <si>
    <t>Бергавинова ул.</t>
  </si>
  <si>
    <t>8</t>
  </si>
  <si>
    <t>Целлюлозная, ул.</t>
  </si>
  <si>
    <t xml:space="preserve">Орджоникидзе ул., </t>
  </si>
  <si>
    <t>26</t>
  </si>
  <si>
    <t>Ильича, ул.</t>
  </si>
  <si>
    <t>54</t>
  </si>
  <si>
    <t>54,1</t>
  </si>
  <si>
    <t>Кольская, ул.</t>
  </si>
  <si>
    <t>10</t>
  </si>
  <si>
    <t>Мичурина ул.</t>
  </si>
  <si>
    <t>26,3</t>
  </si>
  <si>
    <t>11,1</t>
  </si>
  <si>
    <t>15</t>
  </si>
  <si>
    <t>Ударникова ул.</t>
  </si>
  <si>
    <t>2</t>
  </si>
  <si>
    <t>2,1</t>
  </si>
  <si>
    <t>24</t>
  </si>
  <si>
    <t>Индустриальная, ул.</t>
  </si>
  <si>
    <t>28,2</t>
  </si>
  <si>
    <t>Добролюбова, ул.</t>
  </si>
  <si>
    <t>2,2</t>
  </si>
  <si>
    <t>Каботажная, ул.</t>
  </si>
  <si>
    <t>Кировская ул.</t>
  </si>
  <si>
    <t>25</t>
  </si>
  <si>
    <t>Титова,ул</t>
  </si>
  <si>
    <t>Красных маршалов ул.</t>
  </si>
  <si>
    <t>Горького,ул.</t>
  </si>
  <si>
    <t xml:space="preserve">Бергавинова ул. </t>
  </si>
  <si>
    <t>Мичурина, ул.</t>
  </si>
  <si>
    <t>24,1</t>
  </si>
  <si>
    <t>24,2</t>
  </si>
  <si>
    <t>39,2</t>
  </si>
  <si>
    <t>Репина, ул.</t>
  </si>
  <si>
    <t>Пушкинская, ул.</t>
  </si>
  <si>
    <t>24,3</t>
  </si>
  <si>
    <t>26,1</t>
  </si>
  <si>
    <t>Ильича, ул</t>
  </si>
  <si>
    <t>50,1</t>
  </si>
  <si>
    <t>46,1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</si>
  <si>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</si>
  <si>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</si>
  <si>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</si>
  <si>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</si>
  <si>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</si>
  <si>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</si>
  <si>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</si>
  <si>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</si>
  <si>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</si>
  <si>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</si>
  <si>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</si>
  <si>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</si>
  <si>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</si>
  <si>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</si>
  <si>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</si>
  <si>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</si>
  <si>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</si>
  <si>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</si>
  <si>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</si>
  <si>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</si>
  <si>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</si>
  <si>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</si>
  <si>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</si>
  <si>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</si>
  <si>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</si>
  <si>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</si>
  <si>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>1 раз(а) в месяц</t>
  </si>
  <si>
    <t>3. Очистка и влажная уборка мусорных камер</t>
  </si>
  <si>
    <t>4. Мытье и протирка закрывающих устройств мусоропровода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</si>
  <si>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</si>
  <si>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</si>
  <si>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</si>
  <si>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</si>
  <si>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</si>
  <si>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</si>
  <si>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</si>
  <si>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</si>
  <si>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</si>
  <si>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</si>
  <si>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</si>
  <si>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</si>
  <si>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</si>
  <si>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</si>
  <si>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</si>
  <si>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</si>
  <si>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</si>
  <si>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</si>
  <si>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 xml:space="preserve"> деревянный не благоустроенный без канализации, без ХВС (колонка) с печным отоплением (без центр отопления)</t>
  </si>
  <si>
    <t>МВК      деревянный благоустроенный дом с ХВС, ГВС, канализацией, центральным отоплением</t>
  </si>
  <si>
    <t>МВК деревянный благоустроенный с ХВС, ГВС, канализация, печное отопление (без центр отопления)</t>
  </si>
  <si>
    <t xml:space="preserve"> деревянный благоустроенный с ХВС, ГВС, канализация, печное отопление (без центр отопления)</t>
  </si>
  <si>
    <t>МВК   деревянный не благоустроенный без канализации,  с печным отоплением (без центр отопления)</t>
  </si>
  <si>
    <t>1. Подметание  полов во всех помещениях общего пользования</t>
  </si>
  <si>
    <t>1 раз(а) в неделю</t>
  </si>
  <si>
    <t>2. Влажная уборка полов во всех помещениях общего пользования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</si>
  <si>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</si>
  <si>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</si>
  <si>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3 раз(а) в неделю</t>
  </si>
  <si>
    <t>по необходимости</t>
  </si>
  <si>
    <t>по мере необходимости раз(а) в год</t>
  </si>
  <si>
    <t>2  раз(а) в год</t>
  </si>
  <si>
    <t>по мере необходимости в течение          (указать период устранения неисправности)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</si>
  <si>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</si>
  <si>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по мере необходимости в течении года</t>
  </si>
  <si>
    <t xml:space="preserve">22. Обслуживание общедомовых приборов </t>
  </si>
  <si>
    <t>ежемесячно</t>
  </si>
  <si>
    <t>VII.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</si>
  <si>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</si>
  <si>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 xml:space="preserve">Перечень обязательных работ, услуг,                                           5 этажные кирпичные  жилые дома </t>
  </si>
  <si>
    <t>Партизанская, ул</t>
  </si>
  <si>
    <t>ДОБРОЛЮБОВА ул.</t>
  </si>
  <si>
    <t>ХИМИКОВ ул.</t>
  </si>
  <si>
    <t>21 корп.,11</t>
  </si>
  <si>
    <t xml:space="preserve"> 64, к.орп 1</t>
  </si>
  <si>
    <t xml:space="preserve">5 этажные кирпичные  жилые дома </t>
  </si>
  <si>
    <t xml:space="preserve"> 64, к.орп 2</t>
  </si>
  <si>
    <t>Лот № 1 Северный территориальный округ</t>
  </si>
  <si>
    <t>Приложение № 2</t>
  </si>
  <si>
    <t xml:space="preserve"> извещению и документации </t>
  </si>
  <si>
    <t>о проведении открытого конкурса</t>
  </si>
  <si>
    <t>33, корп.1</t>
  </si>
  <si>
    <t>35</t>
  </si>
  <si>
    <t>35, корп.1</t>
  </si>
  <si>
    <t>Орджоникидзе, ул.</t>
  </si>
  <si>
    <t>Партизанская, ул.</t>
  </si>
  <si>
    <t>37</t>
  </si>
  <si>
    <t>23, корп.1</t>
  </si>
  <si>
    <t>целлюлозная, ул.</t>
  </si>
  <si>
    <t>28, корп.1</t>
  </si>
  <si>
    <t>9. Покос травы</t>
  </si>
  <si>
    <t>2 раза в год</t>
  </si>
  <si>
    <t xml:space="preserve">10. Сезонный осмотр конструкций здания( фасадов, стен, фундаментов, кровли, преркрытий)
</t>
  </si>
  <si>
    <t xml:space="preserve">11.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</si>
  <si>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12.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</si>
  <si>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</si>
  <si>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14. Аварийное обслуживание</t>
  </si>
  <si>
    <t>15. Ремонт кровли, крылец, козырьков, деревянных тротуаров</t>
  </si>
  <si>
    <t>16. Дератизация</t>
  </si>
  <si>
    <t>17. Дезинсекция</t>
  </si>
  <si>
    <t>12.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</si>
  <si>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</si>
  <si>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>12. Покос травы</t>
  </si>
  <si>
    <t xml:space="preserve">13. Сезонный осмотр конструкций здания( фасадов, стен, фундаментов, кровли, преркрытий)
</t>
  </si>
  <si>
    <t xml:space="preserve">15.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</si>
  <si>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16. Заделка щелей в печных стояках, оштукатуривание, прочистка дымохода.</t>
  </si>
  <si>
    <t>17.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</si>
  <si>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>18. Аварийное обслуживание</t>
  </si>
  <si>
    <t>19. Ремонт кровли, крылец, козырьков, деревянных тротуаров</t>
  </si>
  <si>
    <t>20. Дератизация</t>
  </si>
  <si>
    <t>21. Дезинсекция</t>
  </si>
  <si>
    <t>5. Подметание земельного участка в летний период</t>
  </si>
  <si>
    <t>6. Уборка мусора с газона, очистка урн</t>
  </si>
  <si>
    <t xml:space="preserve">7 Уборка мусора на контейнерных площадках </t>
  </si>
  <si>
    <t>8. Очистка кровли от снега, сбивание сосулек</t>
  </si>
  <si>
    <t>9. Сдвижка и подметание снега при отсутствии снегопадов, с обработкой противоскользящими реагентами</t>
  </si>
  <si>
    <t>10. Очистка придомовой территории механизированным способом от снега</t>
  </si>
  <si>
    <t>11. Сдвижка и подметание снега при снегопаде, очистка территории</t>
  </si>
  <si>
    <t>12. Вывоз твердых бытовых отходов, КГО</t>
  </si>
  <si>
    <t>13. Покос травы</t>
  </si>
  <si>
    <t>14. Укрепление водосточных труб, колен и воронок, замена участков водостоков</t>
  </si>
  <si>
    <t>15. Сезонный осмотр конструкций здания</t>
  </si>
  <si>
    <t xml:space="preserve">16.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</si>
  <si>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17.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</si>
  <si>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 xml:space="preserve">18.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системе канализации, ремонт трубопровода, осмотр и проверка изоляции электропроводки, замена выключателей, ламп. </t>
  </si>
  <si>
    <t>19. Текущий ремонт общего имущества</t>
  </si>
  <si>
    <t>20. Аварийное обслуживание</t>
  </si>
  <si>
    <t>21. Дератизация, дезинсекция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</si>
</sst>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8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164" fontId="13" fillId="2" borderId="9" xfId="2" applyNumberFormat="1" applyFont="1" applyFill="1" applyBorder="1" applyAlignment="1">
      <alignment horizontal="center" vertical="center" wrapText="1"/>
    </xf>
    <xf numFmtId="49" fontId="13" fillId="2" borderId="9" xfId="2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9" fontId="13" fillId="2" borderId="25" xfId="2" applyNumberFormat="1" applyFont="1" applyFill="1" applyBorder="1" applyAlignment="1">
      <alignment horizontal="left" vertical="center" wrapText="1"/>
    </xf>
    <xf numFmtId="49" fontId="13" fillId="2" borderId="25" xfId="0" applyNumberFormat="1" applyFont="1" applyFill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vertical="center" wrapText="1"/>
    </xf>
    <xf numFmtId="4" fontId="15" fillId="3" borderId="27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4" fontId="10" fillId="2" borderId="28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/>
    </xf>
    <xf numFmtId="4" fontId="10" fillId="2" borderId="28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 wrapText="1"/>
    </xf>
    <xf numFmtId="4" fontId="13" fillId="2" borderId="29" xfId="0" applyNumberFormat="1" applyFont="1" applyFill="1" applyBorder="1" applyAlignment="1">
      <alignment horizontal="center" vertical="center" wrapText="1"/>
    </xf>
    <xf numFmtId="4" fontId="13" fillId="2" borderId="9" xfId="2" applyNumberFormat="1" applyFont="1" applyFill="1" applyBorder="1" applyAlignment="1">
      <alignment horizontal="center" vertical="center" wrapText="1"/>
    </xf>
    <xf numFmtId="2" fontId="13" fillId="2" borderId="9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 vertical="center" wrapText="1"/>
    </xf>
    <xf numFmtId="2" fontId="16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0" fillId="2" borderId="25" xfId="0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2" fontId="3" fillId="3" borderId="25" xfId="0" applyNumberFormat="1" applyFont="1" applyFill="1" applyBorder="1" applyAlignment="1">
      <alignment horizontal="center"/>
    </xf>
    <xf numFmtId="4" fontId="17" fillId="3" borderId="25" xfId="0" applyNumberFormat="1" applyFont="1" applyFill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17" fillId="0" borderId="9" xfId="0" applyNumberFormat="1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2" fontId="3" fillId="3" borderId="25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17" fillId="3" borderId="25" xfId="0" applyNumberFormat="1" applyFont="1" applyFill="1" applyBorder="1" applyAlignment="1">
      <alignment horizontal="center" vertical="center"/>
    </xf>
    <xf numFmtId="2" fontId="11" fillId="3" borderId="25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 vertical="center" wrapText="1"/>
    </xf>
    <xf numFmtId="49" fontId="13" fillId="2" borderId="14" xfId="2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3" fillId="2" borderId="9" xfId="2" applyNumberFormat="1" applyFont="1" applyFill="1" applyBorder="1" applyAlignment="1">
      <alignment horizontal="left" vertical="center" wrapText="1"/>
    </xf>
    <xf numFmtId="49" fontId="13" fillId="2" borderId="13" xfId="2" applyNumberFormat="1" applyFont="1" applyFill="1" applyBorder="1" applyAlignment="1">
      <alignment horizontal="left" vertical="center" wrapText="1"/>
    </xf>
    <xf numFmtId="49" fontId="13" fillId="2" borderId="13" xfId="2" applyNumberFormat="1" applyFont="1" applyFill="1" applyBorder="1" applyAlignment="1">
      <alignment horizontal="center" vertical="center" wrapText="1"/>
    </xf>
    <xf numFmtId="49" fontId="13" fillId="2" borderId="21" xfId="2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2" borderId="16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49" fontId="13" fillId="2" borderId="12" xfId="2" applyNumberFormat="1" applyFont="1" applyFill="1" applyBorder="1" applyAlignment="1">
      <alignment horizontal="left" vertical="center" wrapText="1"/>
    </xf>
    <xf numFmtId="49" fontId="13" fillId="2" borderId="23" xfId="2" applyNumberFormat="1" applyFont="1" applyFill="1" applyBorder="1" applyAlignment="1">
      <alignment horizontal="left" vertical="center" wrapText="1"/>
    </xf>
    <xf numFmtId="49" fontId="16" fillId="2" borderId="15" xfId="0" applyNumberFormat="1" applyFont="1" applyFill="1" applyBorder="1" applyAlignment="1">
      <alignment horizontal="left" vertical="center" wrapText="1"/>
    </xf>
    <xf numFmtId="49" fontId="16" fillId="2" borderId="26" xfId="0" applyNumberFormat="1" applyFont="1" applyFill="1" applyBorder="1" applyAlignment="1">
      <alignment horizontal="left" vertical="center" wrapText="1"/>
    </xf>
    <xf numFmtId="49" fontId="13" fillId="2" borderId="16" xfId="2" applyNumberFormat="1" applyFont="1" applyFill="1" applyBorder="1" applyAlignment="1">
      <alignment horizontal="left" vertical="center" wrapText="1"/>
    </xf>
    <xf numFmtId="49" fontId="13" fillId="2" borderId="29" xfId="2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/>
    </xf>
    <xf numFmtId="4" fontId="17" fillId="0" borderId="0" xfId="0" applyNumberFormat="1" applyFont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left" vertical="center"/>
    </xf>
    <xf numFmtId="4" fontId="2" fillId="2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4" fontId="14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4" fontId="8" fillId="3" borderId="9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" fontId="19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15" fillId="3" borderId="25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3" borderId="18" xfId="0" applyNumberFormat="1" applyFont="1" applyFill="1" applyBorder="1" applyAlignment="1">
      <alignment horizontal="center" vertical="center" wrapText="1"/>
    </xf>
    <xf numFmtId="4" fontId="15" fillId="3" borderId="21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15" fillId="3" borderId="9" xfId="0" applyNumberFormat="1" applyFont="1" applyFill="1" applyBorder="1" applyAlignment="1">
      <alignment horizontal="center" vertical="center" wrapText="1"/>
    </xf>
    <xf numFmtId="4" fontId="8" fillId="3" borderId="30" xfId="0" applyNumberFormat="1" applyFont="1" applyFill="1" applyBorder="1" applyAlignment="1">
      <alignment horizontal="center" vertical="center" wrapText="1"/>
    </xf>
    <xf numFmtId="4" fontId="8" fillId="3" borderId="31" xfId="0" applyNumberFormat="1" applyFont="1" applyFill="1" applyBorder="1" applyAlignment="1">
      <alignment horizontal="center" vertical="center" wrapText="1"/>
    </xf>
    <xf numFmtId="4" fontId="15" fillId="3" borderId="13" xfId="0" applyNumberFormat="1" applyFont="1" applyFill="1" applyBorder="1" applyAlignment="1">
      <alignment horizontal="center" vertical="center" wrapText="1"/>
    </xf>
    <xf numFmtId="4" fontId="15" fillId="3" borderId="24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" fontId="22" fillId="2" borderId="0" xfId="0" applyNumberFormat="1" applyFont="1" applyFill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7"/>
  <sheetViews>
    <sheetView tabSelected="1" view="pageBreakPreview" topLeftCell="EZ28" zoomScale="86" zoomScaleNormal="100" zoomScaleSheetLayoutView="86" workbookViewId="0">
      <selection activeCell="FI34" sqref="FI34:FO45"/>
    </sheetView>
  </sheetViews>
  <sheetFormatPr defaultRowHeight="12.75" x14ac:dyDescent="0.2"/>
  <cols>
    <col min="1" max="1" width="55.5703125" style="6" customWidth="1"/>
    <col min="2" max="2" width="34.7109375" style="17" customWidth="1"/>
    <col min="3" max="3" width="27.140625" style="17" customWidth="1"/>
    <col min="4" max="4" width="9.28515625" style="7" customWidth="1"/>
    <col min="5" max="5" width="11.42578125" style="7" customWidth="1"/>
    <col min="6" max="67" width="9.28515625" style="7" customWidth="1"/>
    <col min="68" max="68" width="27.140625" style="17" customWidth="1"/>
    <col min="69" max="69" width="9.28515625" style="7" customWidth="1"/>
    <col min="70" max="70" width="60.7109375" style="30" customWidth="1"/>
    <col min="71" max="71" width="33.85546875" style="17" customWidth="1"/>
    <col min="72" max="72" width="23.5703125" style="17" customWidth="1"/>
    <col min="73" max="73" width="9.28515625" style="7" customWidth="1"/>
    <col min="74" max="74" width="13.42578125" style="7" customWidth="1"/>
    <col min="75" max="75" width="13" style="7" customWidth="1"/>
    <col min="76" max="76" width="16" style="7" customWidth="1"/>
    <col min="77" max="77" width="54" style="7" customWidth="1"/>
    <col min="78" max="78" width="30.42578125" style="7" customWidth="1"/>
    <col min="79" max="79" width="27.140625" style="17" customWidth="1"/>
    <col min="80" max="84" width="17.28515625" style="17" customWidth="1"/>
    <col min="85" max="85" width="48.5703125" style="17" customWidth="1"/>
    <col min="86" max="86" width="26.85546875" style="30" customWidth="1"/>
    <col min="87" max="87" width="17.28515625" style="17" customWidth="1"/>
    <col min="88" max="114" width="9.28515625" style="7" customWidth="1"/>
    <col min="115" max="115" width="17.28515625" style="17" customWidth="1"/>
    <col min="116" max="116" width="9.28515625" style="7" customWidth="1"/>
    <col min="117" max="117" width="17.28515625" style="17" customWidth="1"/>
    <col min="118" max="118" width="9.28515625" style="7" customWidth="1"/>
    <col min="119" max="119" width="17.28515625" style="17" customWidth="1"/>
    <col min="120" max="120" width="9.28515625" style="7" customWidth="1"/>
    <col min="121" max="121" width="17.28515625" style="17" customWidth="1"/>
    <col min="122" max="122" width="9.28515625" style="7" customWidth="1"/>
    <col min="123" max="123" width="17.28515625" style="17" customWidth="1"/>
    <col min="124" max="124" width="9.28515625" style="7" customWidth="1"/>
    <col min="125" max="125" width="17.28515625" style="17" customWidth="1"/>
    <col min="126" max="126" width="9.28515625" style="7" customWidth="1"/>
    <col min="127" max="127" width="17.28515625" style="17" customWidth="1"/>
    <col min="128" max="128" width="9.28515625" style="7" customWidth="1"/>
    <col min="129" max="129" width="17.28515625" style="17" customWidth="1"/>
    <col min="130" max="130" width="9.28515625" style="7" customWidth="1"/>
    <col min="131" max="131" width="17.28515625" style="17" customWidth="1"/>
    <col min="132" max="132" width="9.28515625" style="7" customWidth="1"/>
    <col min="133" max="133" width="17.28515625" style="17" customWidth="1"/>
    <col min="134" max="134" width="9.28515625" style="7" customWidth="1"/>
    <col min="135" max="135" width="17.28515625" style="17" customWidth="1"/>
    <col min="136" max="136" width="12" style="7" customWidth="1"/>
    <col min="137" max="137" width="17.28515625" style="17" customWidth="1"/>
    <col min="138" max="138" width="9.28515625" style="7" customWidth="1"/>
    <col min="139" max="139" width="17.28515625" style="17" customWidth="1"/>
    <col min="140" max="140" width="8.28515625" style="7" customWidth="1"/>
    <col min="141" max="141" width="74.7109375" style="7" customWidth="1"/>
    <col min="142" max="142" width="24.5703125" style="7" customWidth="1"/>
    <col min="143" max="143" width="25.140625" style="7" customWidth="1"/>
    <col min="144" max="146" width="9.28515625" style="7" customWidth="1"/>
    <col min="147" max="147" width="25.140625" style="7" customWidth="1"/>
    <col min="148" max="148" width="12.7109375" style="7" customWidth="1"/>
    <col min="149" max="149" width="47" style="7" customWidth="1"/>
    <col min="150" max="150" width="14.7109375" style="7" customWidth="1"/>
    <col min="151" max="151" width="17.5703125" style="7" customWidth="1"/>
    <col min="152" max="153" width="10.5703125" style="7" customWidth="1"/>
    <col min="154" max="154" width="11.85546875" style="17" customWidth="1"/>
    <col min="155" max="155" width="50" style="7" customWidth="1"/>
    <col min="156" max="156" width="21.7109375" style="7" customWidth="1"/>
    <col min="157" max="157" width="25.85546875" style="7" customWidth="1"/>
    <col min="158" max="159" width="14.5703125" style="7" customWidth="1"/>
    <col min="160" max="160" width="13.5703125" customWidth="1"/>
    <col min="161" max="161" width="26.28515625" customWidth="1"/>
    <col min="162" max="162" width="18.28515625" style="7" customWidth="1"/>
    <col min="163" max="163" width="26.28515625" customWidth="1"/>
    <col min="164" max="164" width="18.28515625" style="7" customWidth="1"/>
    <col min="165" max="166" width="13.5703125" customWidth="1"/>
    <col min="167" max="167" width="13.140625" style="76" customWidth="1"/>
  </cols>
  <sheetData>
    <row r="1" spans="1:172" s="1" customFormat="1" ht="16.5" customHeight="1" x14ac:dyDescent="0.25">
      <c r="A1" s="23" t="s">
        <v>19</v>
      </c>
      <c r="B1" s="23"/>
      <c r="C1" s="23"/>
      <c r="D1" s="13"/>
      <c r="E1" s="3" t="s">
        <v>182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23"/>
      <c r="BQ1" s="3"/>
      <c r="BR1" s="29"/>
      <c r="BS1" s="23"/>
      <c r="BT1" s="23"/>
      <c r="BU1" s="3"/>
      <c r="BV1" s="3"/>
      <c r="BW1" s="3"/>
      <c r="BX1" s="3"/>
      <c r="BY1" s="3"/>
      <c r="BZ1" s="3"/>
      <c r="CA1" s="23"/>
      <c r="CB1" s="22"/>
      <c r="CC1" s="22"/>
      <c r="CD1" s="20"/>
      <c r="CE1" s="20"/>
      <c r="CF1" s="20"/>
      <c r="CG1" s="22"/>
      <c r="CH1" s="114"/>
      <c r="CI1" s="22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22"/>
      <c r="DL1" s="3"/>
      <c r="DM1" s="22"/>
      <c r="DN1" s="3"/>
      <c r="DO1" s="22"/>
      <c r="DP1" s="3"/>
      <c r="DQ1" s="22"/>
      <c r="DR1" s="3"/>
      <c r="DS1" s="22"/>
      <c r="DT1" s="3"/>
      <c r="DU1" s="22"/>
      <c r="DV1" s="3"/>
      <c r="DW1" s="22"/>
      <c r="DX1" s="3"/>
      <c r="DY1" s="22"/>
      <c r="DZ1" s="3"/>
      <c r="EA1" s="22"/>
      <c r="EB1" s="3"/>
      <c r="EC1" s="22"/>
      <c r="ED1" s="3"/>
      <c r="EE1" s="22"/>
      <c r="EF1" s="3"/>
      <c r="EG1" s="22"/>
      <c r="EH1" s="3"/>
      <c r="EI1" s="22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22"/>
      <c r="EY1" s="3"/>
      <c r="EZ1" s="3"/>
      <c r="FA1" s="3"/>
      <c r="FB1" s="3"/>
      <c r="FC1" s="3"/>
      <c r="FF1" s="3"/>
      <c r="FH1" s="3"/>
      <c r="FK1" s="75"/>
    </row>
    <row r="2" spans="1:172" s="1" customFormat="1" ht="16.5" customHeight="1" x14ac:dyDescent="0.25">
      <c r="A2" s="23" t="s">
        <v>18</v>
      </c>
      <c r="B2" s="23"/>
      <c r="C2" s="23"/>
      <c r="D2" s="4"/>
      <c r="E2" s="4" t="s">
        <v>183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23"/>
      <c r="BQ2" s="4"/>
      <c r="BR2" s="29"/>
      <c r="BS2" s="23"/>
      <c r="BT2" s="23"/>
      <c r="BU2" s="4"/>
      <c r="BV2" s="4"/>
      <c r="BW2" s="4"/>
      <c r="BX2" s="4"/>
      <c r="BY2" s="4"/>
      <c r="BZ2" s="4"/>
      <c r="CA2" s="23"/>
      <c r="CB2" s="22"/>
      <c r="CC2" s="22"/>
      <c r="CD2" s="20"/>
      <c r="CE2" s="20"/>
      <c r="CF2" s="20"/>
      <c r="CG2" s="22"/>
      <c r="CH2" s="114"/>
      <c r="CI2" s="22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22"/>
      <c r="DL2" s="4"/>
      <c r="DM2" s="22"/>
      <c r="DN2" s="4"/>
      <c r="DO2" s="22"/>
      <c r="DP2" s="4"/>
      <c r="DQ2" s="22"/>
      <c r="DR2" s="4"/>
      <c r="DS2" s="22"/>
      <c r="DT2" s="4"/>
      <c r="DU2" s="22"/>
      <c r="DV2" s="4"/>
      <c r="DW2" s="22"/>
      <c r="DX2" s="4"/>
      <c r="DY2" s="22"/>
      <c r="DZ2" s="4"/>
      <c r="EA2" s="22"/>
      <c r="EB2" s="4"/>
      <c r="EC2" s="22"/>
      <c r="ED2" s="4"/>
      <c r="EE2" s="22"/>
      <c r="EF2" s="4"/>
      <c r="EG2" s="22"/>
      <c r="EH2" s="4"/>
      <c r="EI2" s="22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22"/>
      <c r="EY2" s="4"/>
      <c r="EZ2" s="4"/>
      <c r="FA2" s="4"/>
      <c r="FB2" s="4"/>
      <c r="FC2" s="4"/>
      <c r="FF2" s="4"/>
      <c r="FH2" s="4"/>
      <c r="FK2" s="75"/>
    </row>
    <row r="3" spans="1:172" s="1" customFormat="1" ht="16.5" customHeight="1" x14ac:dyDescent="0.25">
      <c r="A3" s="23" t="s">
        <v>17</v>
      </c>
      <c r="B3" s="23"/>
      <c r="C3" s="23"/>
      <c r="D3" s="4"/>
      <c r="E3" s="4" t="s">
        <v>184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23"/>
      <c r="BQ3" s="4"/>
      <c r="BR3" s="29"/>
      <c r="BS3" s="23"/>
      <c r="BT3" s="23"/>
      <c r="BU3" s="4"/>
      <c r="BV3" s="4"/>
      <c r="BW3" s="4"/>
      <c r="BX3" s="4"/>
      <c r="BY3" s="4"/>
      <c r="BZ3" s="4"/>
      <c r="CA3" s="23"/>
      <c r="CB3" s="22"/>
      <c r="CC3" s="22"/>
      <c r="CD3" s="20"/>
      <c r="CE3" s="20"/>
      <c r="CF3" s="20"/>
      <c r="CG3" s="22"/>
      <c r="CH3" s="114"/>
      <c r="CI3" s="22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22"/>
      <c r="DL3" s="4"/>
      <c r="DM3" s="22"/>
      <c r="DN3" s="4"/>
      <c r="DO3" s="22"/>
      <c r="DP3" s="4"/>
      <c r="DQ3" s="22"/>
      <c r="DR3" s="4"/>
      <c r="DS3" s="22"/>
      <c r="DT3" s="4"/>
      <c r="DU3" s="22"/>
      <c r="DV3" s="4"/>
      <c r="DW3" s="22"/>
      <c r="DX3" s="4"/>
      <c r="DY3" s="22"/>
      <c r="DZ3" s="4"/>
      <c r="EA3" s="22"/>
      <c r="EB3" s="4"/>
      <c r="EC3" s="22"/>
      <c r="ED3" s="4"/>
      <c r="EE3" s="22"/>
      <c r="EF3" s="4"/>
      <c r="EG3" s="22"/>
      <c r="EH3" s="4"/>
      <c r="EI3" s="22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22"/>
      <c r="EY3" s="4"/>
      <c r="EZ3" s="4"/>
      <c r="FA3" s="4"/>
      <c r="FB3" s="4"/>
      <c r="FC3" s="4"/>
      <c r="FF3" s="4"/>
      <c r="FH3" s="4"/>
      <c r="FK3" s="75"/>
    </row>
    <row r="4" spans="1:172" s="1" customFormat="1" ht="16.5" customHeight="1" x14ac:dyDescent="0.2">
      <c r="A4" s="23" t="s">
        <v>16</v>
      </c>
      <c r="B4" s="23"/>
      <c r="C4" s="23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23"/>
      <c r="BQ4" s="7"/>
      <c r="BR4" s="29"/>
      <c r="BS4" s="23"/>
      <c r="BT4" s="23"/>
      <c r="BU4" s="7"/>
      <c r="BV4" s="7"/>
      <c r="BW4" s="7"/>
      <c r="BX4" s="7"/>
      <c r="BY4" s="7"/>
      <c r="BZ4" s="7"/>
      <c r="CA4" s="23"/>
      <c r="CB4" s="22"/>
      <c r="CC4" s="20"/>
      <c r="CD4" s="20"/>
      <c r="CE4" s="20"/>
      <c r="CF4" s="20"/>
      <c r="CG4" s="22"/>
      <c r="CH4" s="114"/>
      <c r="CI4" s="22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22"/>
      <c r="DL4" s="7"/>
      <c r="DM4" s="22"/>
      <c r="DN4" s="7"/>
      <c r="DO4" s="22"/>
      <c r="DP4" s="7"/>
      <c r="DQ4" s="22"/>
      <c r="DR4" s="7"/>
      <c r="DS4" s="22"/>
      <c r="DT4" s="7"/>
      <c r="DU4" s="22"/>
      <c r="DV4" s="7"/>
      <c r="DW4" s="22"/>
      <c r="DX4" s="7"/>
      <c r="DY4" s="22"/>
      <c r="DZ4" s="7"/>
      <c r="EA4" s="22"/>
      <c r="EB4" s="7"/>
      <c r="EC4" s="22"/>
      <c r="ED4" s="7"/>
      <c r="EE4" s="22"/>
      <c r="EF4" s="7"/>
      <c r="EG4" s="22"/>
      <c r="EH4" s="7"/>
      <c r="EI4" s="22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20"/>
      <c r="EY4" s="7"/>
      <c r="EZ4" s="7"/>
      <c r="FA4" s="7"/>
      <c r="FB4" s="7"/>
      <c r="FC4" s="7"/>
      <c r="FF4" s="7"/>
      <c r="FH4" s="7"/>
      <c r="FK4" s="75"/>
    </row>
    <row r="5" spans="1:172" s="1" customFormat="1" x14ac:dyDescent="0.2">
      <c r="A5" s="5" t="s">
        <v>181</v>
      </c>
      <c r="B5" s="17"/>
      <c r="C5" s="1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17"/>
      <c r="BQ5" s="7"/>
      <c r="BR5" s="30"/>
      <c r="BS5" s="17"/>
      <c r="BT5" s="17"/>
      <c r="BU5" s="7"/>
      <c r="BV5" s="7"/>
      <c r="BW5" s="7"/>
      <c r="BX5" s="7"/>
      <c r="BY5" s="7"/>
      <c r="BZ5" s="7"/>
      <c r="CA5" s="17"/>
      <c r="CB5" s="17"/>
      <c r="CC5" s="17"/>
      <c r="CD5" s="17"/>
      <c r="CE5" s="17"/>
      <c r="CF5" s="17"/>
      <c r="CG5" s="17"/>
      <c r="CH5" s="30"/>
      <c r="CI5" s="1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17"/>
      <c r="DL5" s="7"/>
      <c r="DM5" s="17"/>
      <c r="DN5" s="7"/>
      <c r="DO5" s="17"/>
      <c r="DP5" s="7"/>
      <c r="DQ5" s="17"/>
      <c r="DR5" s="7"/>
      <c r="DS5" s="17"/>
      <c r="DT5" s="7"/>
      <c r="DU5" s="17"/>
      <c r="DV5" s="7"/>
      <c r="DW5" s="17"/>
      <c r="DX5" s="7"/>
      <c r="DY5" s="17"/>
      <c r="DZ5" s="7"/>
      <c r="EA5" s="17"/>
      <c r="EB5" s="7"/>
      <c r="EC5" s="17"/>
      <c r="ED5" s="7"/>
      <c r="EE5" s="17"/>
      <c r="EF5" s="7"/>
      <c r="EG5" s="17"/>
      <c r="EH5" s="7"/>
      <c r="EI5" s="1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17"/>
      <c r="EY5" s="7"/>
      <c r="EZ5" s="7"/>
      <c r="FA5" s="7"/>
      <c r="FB5" s="7"/>
      <c r="FC5" s="7"/>
      <c r="FF5" s="7"/>
      <c r="FH5" s="7"/>
      <c r="FK5" s="75"/>
    </row>
    <row r="6" spans="1:172" s="1" customFormat="1" ht="15.75" customHeight="1" x14ac:dyDescent="0.2">
      <c r="A6" s="167" t="s">
        <v>15</v>
      </c>
      <c r="B6" s="38" t="s">
        <v>14</v>
      </c>
      <c r="C6" s="39"/>
      <c r="D6" s="19"/>
      <c r="E6" s="14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19"/>
      <c r="BQ6" s="21"/>
      <c r="BR6" s="19"/>
      <c r="BS6" s="19"/>
      <c r="BT6" s="19"/>
      <c r="BU6" s="21"/>
      <c r="BV6" s="21"/>
      <c r="BW6" s="21"/>
      <c r="BX6" s="14"/>
      <c r="BY6" s="21"/>
      <c r="BZ6" s="21"/>
      <c r="CA6" s="26"/>
      <c r="CB6" s="19"/>
      <c r="CC6" s="19"/>
      <c r="CD6" s="19"/>
      <c r="CE6" s="19"/>
      <c r="CF6" s="19"/>
      <c r="CG6" s="26"/>
      <c r="CH6" s="26"/>
      <c r="CI6" s="26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6"/>
      <c r="DL6" s="21"/>
      <c r="DM6" s="26"/>
      <c r="DN6" s="21"/>
      <c r="DO6" s="26"/>
      <c r="DP6" s="21"/>
      <c r="DQ6" s="26"/>
      <c r="DR6" s="21"/>
      <c r="DS6" s="26"/>
      <c r="DT6" s="21"/>
      <c r="DU6" s="26"/>
      <c r="DV6" s="21"/>
      <c r="DW6" s="26"/>
      <c r="DX6" s="21"/>
      <c r="DY6" s="26"/>
      <c r="DZ6" s="21"/>
      <c r="EA6" s="26"/>
      <c r="EB6" s="21"/>
      <c r="EC6" s="26"/>
      <c r="ED6" s="21"/>
      <c r="EE6" s="26"/>
      <c r="EF6" s="21"/>
      <c r="EG6" s="26"/>
      <c r="EH6" s="21"/>
      <c r="EI6" s="26"/>
      <c r="EJ6" s="21"/>
      <c r="EK6" s="21"/>
      <c r="EL6" s="21"/>
      <c r="EM6" s="21"/>
      <c r="EN6" s="21"/>
      <c r="EO6" s="21"/>
      <c r="EP6" s="14"/>
      <c r="EQ6" s="21"/>
      <c r="ER6" s="21"/>
      <c r="ES6" s="21"/>
      <c r="ET6" s="21"/>
      <c r="EU6" s="21"/>
      <c r="EV6" s="14"/>
      <c r="EW6" s="21"/>
      <c r="EX6" s="19"/>
      <c r="EY6" s="21"/>
      <c r="EZ6" s="21"/>
      <c r="FA6" s="21"/>
      <c r="FB6" s="21"/>
      <c r="FC6" s="21"/>
      <c r="FD6" s="14"/>
      <c r="FE6" s="21"/>
      <c r="FF6" s="21"/>
      <c r="FG6" s="21"/>
      <c r="FH6" s="21"/>
      <c r="FI6" s="21"/>
      <c r="FJ6" s="21"/>
      <c r="FK6" s="21"/>
      <c r="FL6" s="14"/>
      <c r="FM6" s="14"/>
      <c r="FN6" s="14"/>
      <c r="FO6" s="14"/>
      <c r="FP6" s="14"/>
    </row>
    <row r="7" spans="1:172" s="8" customFormat="1" ht="71.25" customHeight="1" x14ac:dyDescent="0.2">
      <c r="A7" s="168"/>
      <c r="B7" s="169" t="s">
        <v>13</v>
      </c>
      <c r="C7" s="173" t="s">
        <v>119</v>
      </c>
      <c r="D7" s="96" t="s">
        <v>36</v>
      </c>
      <c r="E7" s="96" t="s">
        <v>36</v>
      </c>
      <c r="F7" s="97" t="s">
        <v>46</v>
      </c>
      <c r="G7" s="97" t="s">
        <v>46</v>
      </c>
      <c r="H7" s="97" t="s">
        <v>49</v>
      </c>
      <c r="I7" s="97" t="s">
        <v>49</v>
      </c>
      <c r="J7" s="97" t="s">
        <v>49</v>
      </c>
      <c r="K7" s="97" t="s">
        <v>34</v>
      </c>
      <c r="L7" s="97" t="s">
        <v>34</v>
      </c>
      <c r="M7" s="97" t="s">
        <v>34</v>
      </c>
      <c r="N7" s="97" t="s">
        <v>34</v>
      </c>
      <c r="O7" s="97" t="s">
        <v>55</v>
      </c>
      <c r="P7" s="97" t="s">
        <v>55</v>
      </c>
      <c r="Q7" s="97" t="s">
        <v>58</v>
      </c>
      <c r="R7" s="97" t="s">
        <v>58</v>
      </c>
      <c r="S7" s="97" t="s">
        <v>58</v>
      </c>
      <c r="T7" s="97" t="s">
        <v>63</v>
      </c>
      <c r="U7" s="97" t="s">
        <v>63</v>
      </c>
      <c r="V7" s="97" t="s">
        <v>64</v>
      </c>
      <c r="W7" s="97" t="s">
        <v>46</v>
      </c>
      <c r="X7" s="97" t="s">
        <v>67</v>
      </c>
      <c r="Y7" s="97" t="s">
        <v>68</v>
      </c>
      <c r="Z7" s="97" t="s">
        <v>68</v>
      </c>
      <c r="AA7" s="97" t="s">
        <v>70</v>
      </c>
      <c r="AB7" s="97" t="s">
        <v>70</v>
      </c>
      <c r="AC7" s="97" t="s">
        <v>70</v>
      </c>
      <c r="AD7" s="97" t="s">
        <v>73</v>
      </c>
      <c r="AE7" s="97" t="s">
        <v>73</v>
      </c>
      <c r="AF7" s="97" t="s">
        <v>73</v>
      </c>
      <c r="AG7" s="97" t="s">
        <v>73</v>
      </c>
      <c r="AH7" s="97" t="s">
        <v>36</v>
      </c>
      <c r="AI7" s="97" t="s">
        <v>36</v>
      </c>
      <c r="AJ7" s="97" t="s">
        <v>36</v>
      </c>
      <c r="AK7" s="97" t="s">
        <v>44</v>
      </c>
      <c r="AL7" s="97" t="s">
        <v>75</v>
      </c>
      <c r="AM7" s="97" t="s">
        <v>68</v>
      </c>
      <c r="AN7" s="97" t="s">
        <v>55</v>
      </c>
      <c r="AO7" s="97" t="s">
        <v>55</v>
      </c>
      <c r="AP7" s="97" t="s">
        <v>55</v>
      </c>
      <c r="AQ7" s="97" t="s">
        <v>55</v>
      </c>
      <c r="AR7" s="97" t="s">
        <v>58</v>
      </c>
      <c r="AS7" s="97" t="s">
        <v>79</v>
      </c>
      <c r="AT7" s="97" t="s">
        <v>79</v>
      </c>
      <c r="AU7" s="97" t="s">
        <v>79</v>
      </c>
      <c r="AV7" s="97" t="s">
        <v>79</v>
      </c>
      <c r="AW7" s="97" t="s">
        <v>79</v>
      </c>
      <c r="AX7" s="97" t="s">
        <v>36</v>
      </c>
      <c r="AY7" s="97" t="s">
        <v>83</v>
      </c>
      <c r="AZ7" s="97" t="s">
        <v>83</v>
      </c>
      <c r="BA7" s="97" t="s">
        <v>83</v>
      </c>
      <c r="BB7" s="97" t="s">
        <v>44</v>
      </c>
      <c r="BC7" s="97" t="s">
        <v>46</v>
      </c>
      <c r="BD7" s="97" t="s">
        <v>55</v>
      </c>
      <c r="BE7" s="97" t="s">
        <v>55</v>
      </c>
      <c r="BF7" s="97" t="s">
        <v>63</v>
      </c>
      <c r="BG7" s="97" t="s">
        <v>70</v>
      </c>
      <c r="BH7" s="97" t="s">
        <v>90</v>
      </c>
      <c r="BI7" s="97" t="s">
        <v>70</v>
      </c>
      <c r="BJ7" s="97" t="s">
        <v>70</v>
      </c>
      <c r="BK7" s="97" t="s">
        <v>70</v>
      </c>
      <c r="BL7" s="97" t="s">
        <v>188</v>
      </c>
      <c r="BM7" s="97" t="s">
        <v>188</v>
      </c>
      <c r="BN7" s="46" t="s">
        <v>189</v>
      </c>
      <c r="BO7" s="97" t="s">
        <v>192</v>
      </c>
      <c r="BP7" s="173" t="s">
        <v>119</v>
      </c>
      <c r="BQ7" s="97" t="s">
        <v>36</v>
      </c>
      <c r="BR7" s="47" t="s">
        <v>120</v>
      </c>
      <c r="BS7" s="48" t="s">
        <v>13</v>
      </c>
      <c r="BT7" s="175" t="s">
        <v>155</v>
      </c>
      <c r="BU7" s="46" t="s">
        <v>38</v>
      </c>
      <c r="BV7" s="46" t="s">
        <v>38</v>
      </c>
      <c r="BW7" s="46" t="s">
        <v>38</v>
      </c>
      <c r="BX7" s="45" t="s">
        <v>34</v>
      </c>
      <c r="BY7" s="177" t="s">
        <v>120</v>
      </c>
      <c r="BZ7" s="178" t="s">
        <v>13</v>
      </c>
      <c r="CA7" s="178" t="s">
        <v>152</v>
      </c>
      <c r="CB7" s="45" t="s">
        <v>28</v>
      </c>
      <c r="CC7" s="45" t="s">
        <v>28</v>
      </c>
      <c r="CD7" s="45" t="s">
        <v>28</v>
      </c>
      <c r="CE7" s="45" t="s">
        <v>28</v>
      </c>
      <c r="CF7" s="45" t="s">
        <v>34</v>
      </c>
      <c r="CG7" s="172" t="s">
        <v>15</v>
      </c>
      <c r="CH7" s="166" t="s">
        <v>13</v>
      </c>
      <c r="CI7" s="166" t="s">
        <v>153</v>
      </c>
      <c r="CJ7" s="97" t="s">
        <v>87</v>
      </c>
      <c r="CK7" s="99" t="s">
        <v>92</v>
      </c>
      <c r="CL7" s="99" t="s">
        <v>92</v>
      </c>
      <c r="CM7" s="97" t="s">
        <v>85</v>
      </c>
      <c r="CN7" s="99" t="s">
        <v>93</v>
      </c>
      <c r="CO7" s="99" t="s">
        <v>94</v>
      </c>
      <c r="CP7" s="97" t="s">
        <v>68</v>
      </c>
      <c r="CQ7" s="97" t="s">
        <v>68</v>
      </c>
      <c r="CR7" s="99" t="s">
        <v>98</v>
      </c>
      <c r="CS7" s="99" t="s">
        <v>98</v>
      </c>
      <c r="CT7" s="97" t="s">
        <v>44</v>
      </c>
      <c r="CU7" s="97" t="s">
        <v>62</v>
      </c>
      <c r="CV7" s="97" t="s">
        <v>49</v>
      </c>
      <c r="CW7" s="97" t="s">
        <v>36</v>
      </c>
      <c r="CX7" s="97" t="s">
        <v>49</v>
      </c>
      <c r="CY7" s="97" t="s">
        <v>55</v>
      </c>
      <c r="CZ7" s="97" t="s">
        <v>55</v>
      </c>
      <c r="DA7" s="97" t="s">
        <v>55</v>
      </c>
      <c r="DB7" s="97" t="s">
        <v>63</v>
      </c>
      <c r="DC7" s="97" t="s">
        <v>70</v>
      </c>
      <c r="DD7" s="97" t="s">
        <v>63</v>
      </c>
      <c r="DE7" s="97" t="s">
        <v>87</v>
      </c>
      <c r="DF7" s="97" t="s">
        <v>65</v>
      </c>
      <c r="DG7" s="46" t="s">
        <v>189</v>
      </c>
      <c r="DH7" s="46" t="s">
        <v>98</v>
      </c>
      <c r="DI7" s="46" t="s">
        <v>63</v>
      </c>
      <c r="DJ7" s="46" t="s">
        <v>63</v>
      </c>
      <c r="DK7" s="166" t="s">
        <v>153</v>
      </c>
      <c r="DL7" s="98" t="s">
        <v>91</v>
      </c>
      <c r="DM7" s="166" t="s">
        <v>153</v>
      </c>
      <c r="DN7" s="99" t="s">
        <v>70</v>
      </c>
      <c r="DO7" s="166" t="s">
        <v>153</v>
      </c>
      <c r="DP7" s="97" t="s">
        <v>49</v>
      </c>
      <c r="DQ7" s="166" t="s">
        <v>153</v>
      </c>
      <c r="DR7" s="97" t="s">
        <v>49</v>
      </c>
      <c r="DS7" s="166" t="s">
        <v>153</v>
      </c>
      <c r="DT7" s="99" t="s">
        <v>83</v>
      </c>
      <c r="DU7" s="166" t="s">
        <v>153</v>
      </c>
      <c r="DV7" s="98" t="s">
        <v>91</v>
      </c>
      <c r="DW7" s="166" t="s">
        <v>153</v>
      </c>
      <c r="DX7" s="99" t="s">
        <v>64</v>
      </c>
      <c r="DY7" s="166" t="s">
        <v>153</v>
      </c>
      <c r="DZ7" s="97" t="s">
        <v>68</v>
      </c>
      <c r="EA7" s="166" t="s">
        <v>153</v>
      </c>
      <c r="EB7" s="99" t="s">
        <v>102</v>
      </c>
      <c r="EC7" s="166" t="s">
        <v>153</v>
      </c>
      <c r="ED7" s="99" t="s">
        <v>99</v>
      </c>
      <c r="EE7" s="166" t="s">
        <v>153</v>
      </c>
      <c r="EF7" s="97" t="s">
        <v>46</v>
      </c>
      <c r="EG7" s="166" t="s">
        <v>153</v>
      </c>
      <c r="EH7" s="97" t="s">
        <v>63</v>
      </c>
      <c r="EI7" s="166" t="s">
        <v>153</v>
      </c>
      <c r="EJ7" s="97" t="s">
        <v>88</v>
      </c>
      <c r="EK7" s="172" t="s">
        <v>120</v>
      </c>
      <c r="EL7" s="166" t="s">
        <v>13</v>
      </c>
      <c r="EM7" s="166" t="s">
        <v>154</v>
      </c>
      <c r="EN7" s="97" t="s">
        <v>68</v>
      </c>
      <c r="EO7" s="99" t="s">
        <v>102</v>
      </c>
      <c r="EP7" s="45" t="s">
        <v>36</v>
      </c>
      <c r="EQ7" s="166" t="s">
        <v>154</v>
      </c>
      <c r="ER7" s="97" t="s">
        <v>68</v>
      </c>
      <c r="ES7" s="170" t="s">
        <v>120</v>
      </c>
      <c r="ET7" s="175" t="s">
        <v>13</v>
      </c>
      <c r="EU7" s="181" t="s">
        <v>156</v>
      </c>
      <c r="EV7" s="100" t="s">
        <v>102</v>
      </c>
      <c r="EW7" s="101" t="s">
        <v>102</v>
      </c>
      <c r="EX7" s="45" t="s">
        <v>28</v>
      </c>
      <c r="EY7" s="177" t="s">
        <v>173</v>
      </c>
      <c r="EZ7" s="177" t="s">
        <v>13</v>
      </c>
      <c r="FA7" s="179" t="s">
        <v>179</v>
      </c>
      <c r="FB7" s="25" t="s">
        <v>175</v>
      </c>
      <c r="FC7" s="25" t="s">
        <v>176</v>
      </c>
      <c r="FD7" s="25" t="s">
        <v>176</v>
      </c>
      <c r="FE7" s="179" t="s">
        <v>179</v>
      </c>
      <c r="FF7" s="25" t="s">
        <v>174</v>
      </c>
      <c r="FG7" s="179" t="s">
        <v>179</v>
      </c>
      <c r="FH7" s="25" t="s">
        <v>174</v>
      </c>
      <c r="FI7" s="70"/>
      <c r="FJ7" s="70"/>
      <c r="FK7" s="58"/>
      <c r="FL7" s="58"/>
      <c r="FM7" s="58"/>
    </row>
    <row r="8" spans="1:172" s="8" customFormat="1" ht="22.5" customHeight="1" x14ac:dyDescent="0.2">
      <c r="A8" s="168"/>
      <c r="B8" s="169"/>
      <c r="C8" s="174"/>
      <c r="D8" s="102" t="s">
        <v>29</v>
      </c>
      <c r="E8" s="102" t="s">
        <v>43</v>
      </c>
      <c r="F8" s="103" t="s">
        <v>47</v>
      </c>
      <c r="G8" s="103" t="s">
        <v>48</v>
      </c>
      <c r="H8" s="103" t="s">
        <v>50</v>
      </c>
      <c r="I8" s="103" t="s">
        <v>51</v>
      </c>
      <c r="J8" s="103" t="s">
        <v>52</v>
      </c>
      <c r="K8" s="103" t="s">
        <v>47</v>
      </c>
      <c r="L8" s="103" t="s">
        <v>53</v>
      </c>
      <c r="M8" s="103" t="s">
        <v>54</v>
      </c>
      <c r="N8" s="103" t="s">
        <v>25</v>
      </c>
      <c r="O8" s="103" t="s">
        <v>45</v>
      </c>
      <c r="P8" s="103" t="s">
        <v>57</v>
      </c>
      <c r="Q8" s="103" t="s">
        <v>59</v>
      </c>
      <c r="R8" s="103" t="s">
        <v>60</v>
      </c>
      <c r="S8" s="103" t="s">
        <v>61</v>
      </c>
      <c r="T8" s="103" t="s">
        <v>25</v>
      </c>
      <c r="U8" s="103" t="s">
        <v>37</v>
      </c>
      <c r="V8" s="103" t="s">
        <v>27</v>
      </c>
      <c r="W8" s="103" t="s">
        <v>50</v>
      </c>
      <c r="X8" s="103" t="s">
        <v>56</v>
      </c>
      <c r="Y8" s="103" t="s">
        <v>69</v>
      </c>
      <c r="Z8" s="103" t="s">
        <v>33</v>
      </c>
      <c r="AA8" s="103" t="s">
        <v>26</v>
      </c>
      <c r="AB8" s="103" t="s">
        <v>71</v>
      </c>
      <c r="AC8" s="103" t="s">
        <v>72</v>
      </c>
      <c r="AD8" s="103" t="s">
        <v>74</v>
      </c>
      <c r="AE8" s="103" t="s">
        <v>25</v>
      </c>
      <c r="AF8" s="103" t="s">
        <v>56</v>
      </c>
      <c r="AG8" s="103" t="s">
        <v>37</v>
      </c>
      <c r="AH8" s="103" t="s">
        <v>30</v>
      </c>
      <c r="AI8" s="103" t="s">
        <v>27</v>
      </c>
      <c r="AJ8" s="103" t="s">
        <v>33</v>
      </c>
      <c r="AK8" s="103" t="s">
        <v>48</v>
      </c>
      <c r="AL8" s="103" t="s">
        <v>74</v>
      </c>
      <c r="AM8" s="103" t="s">
        <v>76</v>
      </c>
      <c r="AN8" s="103" t="s">
        <v>77</v>
      </c>
      <c r="AO8" s="103" t="s">
        <v>78</v>
      </c>
      <c r="AP8" s="103" t="s">
        <v>61</v>
      </c>
      <c r="AQ8" s="103" t="s">
        <v>30</v>
      </c>
      <c r="AR8" s="103" t="s">
        <v>78</v>
      </c>
      <c r="AS8" s="103" t="s">
        <v>80</v>
      </c>
      <c r="AT8" s="103" t="s">
        <v>81</v>
      </c>
      <c r="AU8" s="103" t="s">
        <v>66</v>
      </c>
      <c r="AV8" s="103" t="s">
        <v>61</v>
      </c>
      <c r="AW8" s="103" t="s">
        <v>32</v>
      </c>
      <c r="AX8" s="103" t="s">
        <v>25</v>
      </c>
      <c r="AY8" s="103" t="s">
        <v>25</v>
      </c>
      <c r="AZ8" s="103" t="s">
        <v>56</v>
      </c>
      <c r="BA8" s="103" t="s">
        <v>37</v>
      </c>
      <c r="BB8" s="103" t="s">
        <v>54</v>
      </c>
      <c r="BC8" s="103" t="s">
        <v>54</v>
      </c>
      <c r="BD8" s="103" t="s">
        <v>32</v>
      </c>
      <c r="BE8" s="103" t="s">
        <v>33</v>
      </c>
      <c r="BF8" s="103" t="s">
        <v>74</v>
      </c>
      <c r="BG8" s="103" t="s">
        <v>86</v>
      </c>
      <c r="BH8" s="103" t="s">
        <v>89</v>
      </c>
      <c r="BI8" s="103" t="s">
        <v>185</v>
      </c>
      <c r="BJ8" s="103" t="s">
        <v>186</v>
      </c>
      <c r="BK8" s="103" t="s">
        <v>187</v>
      </c>
      <c r="BL8" s="103" t="s">
        <v>30</v>
      </c>
      <c r="BM8" s="103" t="s">
        <v>32</v>
      </c>
      <c r="BN8" s="103" t="s">
        <v>190</v>
      </c>
      <c r="BO8" s="103" t="s">
        <v>191</v>
      </c>
      <c r="BP8" s="174"/>
      <c r="BQ8" s="103" t="s">
        <v>82</v>
      </c>
      <c r="BR8" s="104"/>
      <c r="BS8" s="104"/>
      <c r="BT8" s="176"/>
      <c r="BU8" s="105" t="s">
        <v>39</v>
      </c>
      <c r="BV8" s="105" t="s">
        <v>40</v>
      </c>
      <c r="BW8" s="105" t="s">
        <v>41</v>
      </c>
      <c r="BX8" s="106" t="s">
        <v>42</v>
      </c>
      <c r="BY8" s="177"/>
      <c r="BZ8" s="178"/>
      <c r="CA8" s="178"/>
      <c r="CB8" s="107" t="s">
        <v>29</v>
      </c>
      <c r="CC8" s="107" t="s">
        <v>30</v>
      </c>
      <c r="CD8" s="107" t="s">
        <v>32</v>
      </c>
      <c r="CE8" s="107" t="s">
        <v>33</v>
      </c>
      <c r="CF8" s="108" t="s">
        <v>35</v>
      </c>
      <c r="CG8" s="172"/>
      <c r="CH8" s="166"/>
      <c r="CI8" s="166"/>
      <c r="CJ8" s="98" t="s">
        <v>50</v>
      </c>
      <c r="CK8" s="98" t="s">
        <v>53</v>
      </c>
      <c r="CL8" s="98" t="s">
        <v>60</v>
      </c>
      <c r="CM8" s="98" t="s">
        <v>69</v>
      </c>
      <c r="CN8" s="98" t="s">
        <v>60</v>
      </c>
      <c r="CO8" s="98" t="s">
        <v>25</v>
      </c>
      <c r="CP8" s="98" t="s">
        <v>95</v>
      </c>
      <c r="CQ8" s="98" t="s">
        <v>96</v>
      </c>
      <c r="CR8" s="98" t="s">
        <v>54</v>
      </c>
      <c r="CS8" s="98" t="s">
        <v>48</v>
      </c>
      <c r="CT8" s="103" t="s">
        <v>45</v>
      </c>
      <c r="CU8" s="103" t="s">
        <v>50</v>
      </c>
      <c r="CV8" s="103" t="s">
        <v>25</v>
      </c>
      <c r="CW8" s="103" t="s">
        <v>45</v>
      </c>
      <c r="CX8" s="103" t="s">
        <v>84</v>
      </c>
      <c r="CY8" s="103" t="s">
        <v>29</v>
      </c>
      <c r="CZ8" s="103" t="s">
        <v>27</v>
      </c>
      <c r="DA8" s="103" t="s">
        <v>82</v>
      </c>
      <c r="DB8" s="103" t="s">
        <v>78</v>
      </c>
      <c r="DC8" s="103" t="s">
        <v>25</v>
      </c>
      <c r="DD8" s="103" t="s">
        <v>31</v>
      </c>
      <c r="DE8" s="103" t="s">
        <v>53</v>
      </c>
      <c r="DF8" s="103" t="s">
        <v>66</v>
      </c>
      <c r="DG8" s="103" t="s">
        <v>193</v>
      </c>
      <c r="DH8" s="103" t="s">
        <v>56</v>
      </c>
      <c r="DI8" s="103" t="s">
        <v>30</v>
      </c>
      <c r="DJ8" s="103" t="s">
        <v>69</v>
      </c>
      <c r="DK8" s="166"/>
      <c r="DL8" s="98" t="s">
        <v>31</v>
      </c>
      <c r="DM8" s="166"/>
      <c r="DN8" s="98" t="s">
        <v>48</v>
      </c>
      <c r="DO8" s="166"/>
      <c r="DP8" s="98" t="s">
        <v>78</v>
      </c>
      <c r="DQ8" s="166"/>
      <c r="DR8" s="98" t="s">
        <v>30</v>
      </c>
      <c r="DS8" s="166"/>
      <c r="DT8" s="98" t="s">
        <v>54</v>
      </c>
      <c r="DU8" s="166"/>
      <c r="DV8" s="98" t="s">
        <v>48</v>
      </c>
      <c r="DW8" s="166"/>
      <c r="DX8" s="98" t="s">
        <v>42</v>
      </c>
      <c r="DY8" s="166"/>
      <c r="DZ8" s="98" t="s">
        <v>82</v>
      </c>
      <c r="EA8" s="166"/>
      <c r="EB8" s="98" t="s">
        <v>97</v>
      </c>
      <c r="EC8" s="166"/>
      <c r="ED8" s="98" t="s">
        <v>50</v>
      </c>
      <c r="EE8" s="166"/>
      <c r="EF8" s="103" t="s">
        <v>60</v>
      </c>
      <c r="EG8" s="166"/>
      <c r="EH8" s="103" t="s">
        <v>48</v>
      </c>
      <c r="EI8" s="166"/>
      <c r="EJ8" s="103" t="s">
        <v>48</v>
      </c>
      <c r="EK8" s="172"/>
      <c r="EL8" s="166"/>
      <c r="EM8" s="166"/>
      <c r="EN8" s="98" t="s">
        <v>100</v>
      </c>
      <c r="EO8" s="98" t="s">
        <v>103</v>
      </c>
      <c r="EP8" s="109" t="s">
        <v>37</v>
      </c>
      <c r="EQ8" s="166"/>
      <c r="ER8" s="98" t="s">
        <v>101</v>
      </c>
      <c r="ES8" s="171"/>
      <c r="ET8" s="176"/>
      <c r="EU8" s="182"/>
      <c r="EV8" s="25" t="s">
        <v>104</v>
      </c>
      <c r="EW8" s="110" t="s">
        <v>37</v>
      </c>
      <c r="EX8" s="107" t="s">
        <v>31</v>
      </c>
      <c r="EY8" s="177"/>
      <c r="EZ8" s="177"/>
      <c r="FA8" s="180"/>
      <c r="FB8" s="57">
        <v>28</v>
      </c>
      <c r="FC8" s="57">
        <v>21</v>
      </c>
      <c r="FD8" s="57" t="s">
        <v>177</v>
      </c>
      <c r="FE8" s="180"/>
      <c r="FF8" s="57" t="s">
        <v>178</v>
      </c>
      <c r="FG8" s="180"/>
      <c r="FH8" s="118" t="s">
        <v>180</v>
      </c>
      <c r="FI8" s="71"/>
      <c r="FJ8" s="71"/>
    </row>
    <row r="9" spans="1:172" s="1" customFormat="1" ht="12.75" customHeight="1" x14ac:dyDescent="0.2">
      <c r="A9" s="33" t="s">
        <v>12</v>
      </c>
      <c r="B9" s="40"/>
      <c r="C9" s="34">
        <f>SUM(C10:C13)</f>
        <v>1.1700000000000002</v>
      </c>
      <c r="D9" s="10">
        <f t="shared" ref="D9" si="0">SUM(D10:D13)</f>
        <v>6775.7040000000006</v>
      </c>
      <c r="E9" s="10">
        <f t="shared" ref="E9:BC9" si="1">SUM(E10:E13)</f>
        <v>8299.0439999999999</v>
      </c>
      <c r="F9" s="10">
        <f t="shared" si="1"/>
        <v>6476.652000000001</v>
      </c>
      <c r="G9" s="10">
        <f t="shared" si="1"/>
        <v>5995.0800000000008</v>
      </c>
      <c r="H9" s="10">
        <f t="shared" si="1"/>
        <v>19143.54</v>
      </c>
      <c r="I9" s="10">
        <f t="shared" si="1"/>
        <v>8182.5120000000006</v>
      </c>
      <c r="J9" s="10">
        <f t="shared" si="1"/>
        <v>8150.2200000000012</v>
      </c>
      <c r="K9" s="10">
        <f t="shared" si="1"/>
        <v>7752.8880000000008</v>
      </c>
      <c r="L9" s="10">
        <f t="shared" si="1"/>
        <v>7924.1760000000004</v>
      </c>
      <c r="M9" s="10">
        <f t="shared" si="1"/>
        <v>8470.3320000000003</v>
      </c>
      <c r="N9" s="10">
        <f t="shared" si="1"/>
        <v>4857.8400000000011</v>
      </c>
      <c r="O9" s="10">
        <f t="shared" si="1"/>
        <v>11358.36</v>
      </c>
      <c r="P9" s="10">
        <f t="shared" si="1"/>
        <v>8141.7960000000003</v>
      </c>
      <c r="Q9" s="10">
        <f t="shared" si="1"/>
        <v>6527.195999999999</v>
      </c>
      <c r="R9" s="10">
        <f t="shared" si="1"/>
        <v>7342.920000000001</v>
      </c>
      <c r="S9" s="10">
        <f t="shared" si="1"/>
        <v>10225.332</v>
      </c>
      <c r="T9" s="10">
        <f t="shared" ref="T9" si="2">SUM(T10:T13)</f>
        <v>8400.1319999999996</v>
      </c>
      <c r="U9" s="10">
        <f t="shared" si="1"/>
        <v>6421.8959999999997</v>
      </c>
      <c r="V9" s="10">
        <f t="shared" si="1"/>
        <v>6673.2120000000004</v>
      </c>
      <c r="W9" s="10">
        <f t="shared" si="1"/>
        <v>6465.420000000001</v>
      </c>
      <c r="X9" s="10">
        <f t="shared" si="1"/>
        <v>10233.756000000001</v>
      </c>
      <c r="Y9" s="10">
        <f t="shared" si="1"/>
        <v>6496.308</v>
      </c>
      <c r="Z9" s="10">
        <f t="shared" ref="Z9" si="3">SUM(Z10:Z13)</f>
        <v>6400.8360000000002</v>
      </c>
      <c r="AA9" s="10">
        <f t="shared" si="1"/>
        <v>7251.66</v>
      </c>
      <c r="AB9" s="10">
        <f t="shared" si="1"/>
        <v>7257.2760000000007</v>
      </c>
      <c r="AC9" s="10">
        <f t="shared" si="1"/>
        <v>7210.9440000000013</v>
      </c>
      <c r="AD9" s="10">
        <f t="shared" si="1"/>
        <v>6633.9000000000005</v>
      </c>
      <c r="AE9" s="10">
        <f t="shared" si="1"/>
        <v>6695.6760000000004</v>
      </c>
      <c r="AF9" s="10">
        <f t="shared" si="1"/>
        <v>6775.7040000000006</v>
      </c>
      <c r="AG9" s="10">
        <f t="shared" si="1"/>
        <v>6652.152000000001</v>
      </c>
      <c r="AH9" s="10">
        <f t="shared" si="1"/>
        <v>7279.7400000000007</v>
      </c>
      <c r="AI9" s="10">
        <f t="shared" si="1"/>
        <v>7914.3480000000027</v>
      </c>
      <c r="AJ9" s="10">
        <f t="shared" si="1"/>
        <v>6763.0680000000011</v>
      </c>
      <c r="AK9" s="10">
        <f t="shared" si="1"/>
        <v>12308.868000000002</v>
      </c>
      <c r="AL9" s="10">
        <f t="shared" si="1"/>
        <v>6669</v>
      </c>
      <c r="AM9" s="10">
        <f t="shared" si="1"/>
        <v>6400.8360000000002</v>
      </c>
      <c r="AN9" s="10">
        <f t="shared" si="1"/>
        <v>6021.7560000000003</v>
      </c>
      <c r="AO9" s="10">
        <f t="shared" si="1"/>
        <v>10216.908000000001</v>
      </c>
      <c r="AP9" s="10">
        <f t="shared" si="1"/>
        <v>5889.78</v>
      </c>
      <c r="AQ9" s="10">
        <f t="shared" si="1"/>
        <v>8359.4160000000011</v>
      </c>
      <c r="AR9" s="10">
        <f t="shared" si="1"/>
        <v>10388.196000000002</v>
      </c>
      <c r="AS9" s="10">
        <f t="shared" si="1"/>
        <v>13680.575999999999</v>
      </c>
      <c r="AT9" s="10">
        <f t="shared" si="1"/>
        <v>7978.9319999999989</v>
      </c>
      <c r="AU9" s="10">
        <f t="shared" si="1"/>
        <v>9321.1560000000009</v>
      </c>
      <c r="AV9" s="10">
        <f t="shared" si="1"/>
        <v>7460.8559999999998</v>
      </c>
      <c r="AW9" s="10">
        <f t="shared" si="1"/>
        <v>5920.6680000000006</v>
      </c>
      <c r="AX9" s="10">
        <f t="shared" si="1"/>
        <v>6646.5359999999991</v>
      </c>
      <c r="AY9" s="10">
        <f t="shared" si="1"/>
        <v>7633.5480000000016</v>
      </c>
      <c r="AZ9" s="10">
        <f t="shared" si="1"/>
        <v>7257.2760000000007</v>
      </c>
      <c r="BA9" s="10">
        <f t="shared" si="1"/>
        <v>8240.0760000000009</v>
      </c>
      <c r="BB9" s="10">
        <f t="shared" si="1"/>
        <v>6139.6920000000009</v>
      </c>
      <c r="BC9" s="10">
        <f t="shared" si="1"/>
        <v>6054.0480000000007</v>
      </c>
      <c r="BD9" s="10">
        <f t="shared" ref="BD9:BH9" si="4">SUM(BD10:BD13)</f>
        <v>7379.424</v>
      </c>
      <c r="BE9" s="10">
        <f t="shared" si="4"/>
        <v>7121.0880000000006</v>
      </c>
      <c r="BF9" s="10">
        <f t="shared" si="4"/>
        <v>6990.5159999999996</v>
      </c>
      <c r="BG9" s="10">
        <f t="shared" si="4"/>
        <v>6254.8200000000006</v>
      </c>
      <c r="BH9" s="10">
        <f t="shared" si="4"/>
        <v>6047.0280000000002</v>
      </c>
      <c r="BI9" s="10">
        <f t="shared" ref="BI9:BO9" si="5">SUM(BI10:BI13)</f>
        <v>7539.4800000000005</v>
      </c>
      <c r="BJ9" s="10">
        <f t="shared" si="5"/>
        <v>7529.652000000001</v>
      </c>
      <c r="BK9" s="10">
        <f t="shared" si="5"/>
        <v>6657.768</v>
      </c>
      <c r="BL9" s="10">
        <f t="shared" si="5"/>
        <v>10336.248000000001</v>
      </c>
      <c r="BM9" s="10">
        <f t="shared" si="5"/>
        <v>10353.096000000001</v>
      </c>
      <c r="BN9" s="10">
        <f t="shared" ref="BN9" si="6">SUM(BN10:BN13)</f>
        <v>6500.5200000000013</v>
      </c>
      <c r="BO9" s="10">
        <f t="shared" si="5"/>
        <v>7839.9360000000006</v>
      </c>
      <c r="BP9" s="34">
        <f>SUM(BP10:BP13)</f>
        <v>1.1700000000000002</v>
      </c>
      <c r="BQ9" s="10">
        <f>SUM(BQ10:BQ13)</f>
        <v>6844.5</v>
      </c>
      <c r="BR9" s="49" t="s">
        <v>12</v>
      </c>
      <c r="BS9" s="50"/>
      <c r="BT9" s="34">
        <f>SUM(BT10:BT13)</f>
        <v>1.1700000000000002</v>
      </c>
      <c r="BU9" s="10">
        <f t="shared" ref="BU9:BX9" si="7">SUM(BU10:BU12)</f>
        <v>6400.8360000000002</v>
      </c>
      <c r="BV9" s="10">
        <f t="shared" si="7"/>
        <v>6455.5920000000015</v>
      </c>
      <c r="BW9" s="10">
        <f t="shared" si="7"/>
        <v>7261.4880000000012</v>
      </c>
      <c r="BX9" s="10">
        <f t="shared" si="7"/>
        <v>7246.0439999999999</v>
      </c>
      <c r="BY9" s="49" t="s">
        <v>12</v>
      </c>
      <c r="BZ9" s="50"/>
      <c r="CA9" s="34">
        <f>SUM(CA10:CA13)</f>
        <v>1.1700000000000002</v>
      </c>
      <c r="CB9" s="10">
        <f>SUM(CB10:CB12)</f>
        <v>6379.7760000000007</v>
      </c>
      <c r="CC9" s="10">
        <f t="shared" ref="CC9:CF9" si="8">SUM(CC10:CC12)</f>
        <v>6489.2879999999996</v>
      </c>
      <c r="CD9" s="10">
        <f t="shared" si="8"/>
        <v>6639.5159999999996</v>
      </c>
      <c r="CE9" s="10">
        <f t="shared" si="8"/>
        <v>6424.7040000000006</v>
      </c>
      <c r="CF9" s="10">
        <f t="shared" si="8"/>
        <v>6497.7120000000004</v>
      </c>
      <c r="CG9" s="49" t="s">
        <v>12</v>
      </c>
      <c r="CH9" s="41"/>
      <c r="CI9" s="34">
        <f>SUM(CI10:CI13)</f>
        <v>1.1700000000000002</v>
      </c>
      <c r="CJ9" s="10">
        <f t="shared" ref="CJ9:CS9" si="9">SUM(CJ10:CJ12)</f>
        <v>6289.920000000001</v>
      </c>
      <c r="CK9" s="10">
        <f t="shared" si="9"/>
        <v>7932.6</v>
      </c>
      <c r="CL9" s="10">
        <f t="shared" si="9"/>
        <v>7948.0439999999999</v>
      </c>
      <c r="CM9" s="10">
        <f t="shared" si="9"/>
        <v>6737.7960000000003</v>
      </c>
      <c r="CN9" s="10">
        <f t="shared" si="9"/>
        <v>7824.4920000000011</v>
      </c>
      <c r="CO9" s="10">
        <f t="shared" si="9"/>
        <v>10100.376</v>
      </c>
      <c r="CP9" s="10">
        <f t="shared" si="9"/>
        <v>6730.7760000000007</v>
      </c>
      <c r="CQ9" s="10">
        <f t="shared" si="9"/>
        <v>6492.0960000000005</v>
      </c>
      <c r="CR9" s="10">
        <f t="shared" si="9"/>
        <v>5902.4160000000002</v>
      </c>
      <c r="CS9" s="10">
        <f t="shared" si="9"/>
        <v>12440.844000000001</v>
      </c>
      <c r="CT9" s="10">
        <f t="shared" ref="CT9:DF9" si="10">SUM(CT10:CT12)</f>
        <v>10157.94</v>
      </c>
      <c r="CU9" s="10">
        <f t="shared" si="10"/>
        <v>7904.5200000000013</v>
      </c>
      <c r="CV9" s="10">
        <f t="shared" si="10"/>
        <v>8085.6360000000004</v>
      </c>
      <c r="CW9" s="10">
        <f t="shared" si="10"/>
        <v>4863.4560000000001</v>
      </c>
      <c r="CX9" s="10">
        <f t="shared" si="10"/>
        <v>8554.5720000000001</v>
      </c>
      <c r="CY9" s="10">
        <f t="shared" si="10"/>
        <v>7762.7160000000003</v>
      </c>
      <c r="CZ9" s="10">
        <f t="shared" si="10"/>
        <v>7074.7560000000012</v>
      </c>
      <c r="DA9" s="10">
        <f t="shared" si="10"/>
        <v>7111.26</v>
      </c>
      <c r="DB9" s="10">
        <f t="shared" si="10"/>
        <v>7393.4640000000009</v>
      </c>
      <c r="DC9" s="10">
        <f t="shared" si="10"/>
        <v>6500.5200000000013</v>
      </c>
      <c r="DD9" s="10">
        <f t="shared" si="10"/>
        <v>7278.3360000000002</v>
      </c>
      <c r="DE9" s="10">
        <f t="shared" si="10"/>
        <v>7354.1519999999991</v>
      </c>
      <c r="DF9" s="10">
        <f t="shared" si="10"/>
        <v>7914.3480000000027</v>
      </c>
      <c r="DG9" s="10">
        <f>SUM(DG10:DG12)</f>
        <v>8526.4920000000002</v>
      </c>
      <c r="DH9" s="10">
        <f t="shared" ref="DH9:DJ9" si="11">SUM(DH10:DH12)</f>
        <v>8759.5560000000005</v>
      </c>
      <c r="DI9" s="10">
        <f>SUM(DI10:DI12)</f>
        <v>7088.7960000000003</v>
      </c>
      <c r="DJ9" s="10">
        <f t="shared" si="11"/>
        <v>7706.5560000000005</v>
      </c>
      <c r="DK9" s="34">
        <f>SUM(DK10:DK13)</f>
        <v>1.1700000000000002</v>
      </c>
      <c r="DL9" s="10">
        <f>SUM(DL10:DL12)</f>
        <v>6878.195999999999</v>
      </c>
      <c r="DM9" s="34">
        <f>SUM(DM10:DM13)</f>
        <v>1.1700000000000002</v>
      </c>
      <c r="DN9" s="10">
        <f>SUM(DN10:DN12)</f>
        <v>7785.1800000000012</v>
      </c>
      <c r="DO9" s="34">
        <f>SUM(DO10:DO13)</f>
        <v>1.1700000000000002</v>
      </c>
      <c r="DP9" s="10">
        <f>SUM(DP10:DP12)</f>
        <v>7093.0080000000007</v>
      </c>
      <c r="DQ9" s="34">
        <f>SUM(DQ10:DQ13)</f>
        <v>1.1700000000000002</v>
      </c>
      <c r="DR9" s="10">
        <f>SUM(DR10:DR12)</f>
        <v>7149.1680000000015</v>
      </c>
      <c r="DS9" s="34">
        <f>SUM(DS10:DS13)</f>
        <v>1.1700000000000002</v>
      </c>
      <c r="DT9" s="10">
        <f>SUM(DT10:DT12)</f>
        <v>13957.164000000001</v>
      </c>
      <c r="DU9" s="34">
        <f>SUM(DU10:DU13)</f>
        <v>1.1700000000000002</v>
      </c>
      <c r="DV9" s="10">
        <f>SUM(DV10:DV12)</f>
        <v>7987.3559999999998</v>
      </c>
      <c r="DW9" s="34">
        <f>SUM(DW10:DW13)</f>
        <v>1.1700000000000002</v>
      </c>
      <c r="DX9" s="10">
        <f>SUM(DX10:DX12)</f>
        <v>6334.8480000000009</v>
      </c>
      <c r="DY9" s="34">
        <f>SUM(DY10:DY13)</f>
        <v>1.1700000000000002</v>
      </c>
      <c r="DZ9" s="10">
        <f>SUM(DZ10:DZ12)</f>
        <v>6378.3720000000012</v>
      </c>
      <c r="EA9" s="34">
        <f>SUM(EA10:EA13)</f>
        <v>1.1700000000000002</v>
      </c>
      <c r="EB9" s="10">
        <f>SUM(EB10:EB12)</f>
        <v>6552.4680000000008</v>
      </c>
      <c r="EC9" s="34">
        <f>SUM(EC10:EC13)</f>
        <v>1.1700000000000002</v>
      </c>
      <c r="ED9" s="10">
        <f>SUM(ED10:ED12)</f>
        <v>7494.5519999999997</v>
      </c>
      <c r="EE9" s="34">
        <f>SUM(EE10:EE13)</f>
        <v>1.1700000000000002</v>
      </c>
      <c r="EF9" s="10">
        <f>SUM(EF10:EF12)</f>
        <v>6581.9520000000002</v>
      </c>
      <c r="EG9" s="34">
        <f>SUM(EG10:EG13)</f>
        <v>1.1700000000000002</v>
      </c>
      <c r="EH9" s="10">
        <f>SUM(EH10:EH12)</f>
        <v>7244.6400000000012</v>
      </c>
      <c r="EI9" s="34">
        <f>SUM(EI10:EI13)</f>
        <v>1.1700000000000002</v>
      </c>
      <c r="EJ9" s="10">
        <f>SUM(EJ10:EJ12)</f>
        <v>7934.0040000000008</v>
      </c>
      <c r="EK9" s="49" t="s">
        <v>12</v>
      </c>
      <c r="EL9" s="50"/>
      <c r="EM9" s="34">
        <f>SUM(EM10:EM13)</f>
        <v>1.1700000000000002</v>
      </c>
      <c r="EN9" s="10">
        <f>SUM(EN10:EN12)</f>
        <v>6878.195999999999</v>
      </c>
      <c r="EO9" s="10">
        <f t="shared" ref="EO9" si="12">SUM(EO10:EO12)</f>
        <v>6569.3159999999998</v>
      </c>
      <c r="EP9" s="10">
        <f t="shared" ref="EP9" si="13">SUM(EP10:EP12)</f>
        <v>6878.195999999999</v>
      </c>
      <c r="EQ9" s="34">
        <f>SUM(EQ10:EQ13)</f>
        <v>1.1700000000000002</v>
      </c>
      <c r="ER9" s="10">
        <f>SUM(ER10:ER12)</f>
        <v>6541.2359999999999</v>
      </c>
      <c r="ES9" s="49" t="s">
        <v>12</v>
      </c>
      <c r="ET9" s="50"/>
      <c r="EU9" s="34">
        <f>SUM(EU10:EU13)</f>
        <v>1.1700000000000002</v>
      </c>
      <c r="EV9" s="10">
        <f t="shared" ref="EV9:EX9" si="14">SUM(EV10:EV12)</f>
        <v>6400.8360000000002</v>
      </c>
      <c r="EW9" s="53">
        <f t="shared" si="14"/>
        <v>5837.8320000000003</v>
      </c>
      <c r="EX9" s="53">
        <f t="shared" si="14"/>
        <v>6539.8320000000003</v>
      </c>
      <c r="EY9" s="59" t="s">
        <v>12</v>
      </c>
      <c r="EZ9" s="60"/>
      <c r="FA9" s="80">
        <f t="shared" ref="FA9:FF9" si="15">SUM(FA10:FA13)</f>
        <v>2.5099999999999998</v>
      </c>
      <c r="FB9" s="82">
        <f t="shared" si="15"/>
        <v>118862.556</v>
      </c>
      <c r="FC9" s="82">
        <f t="shared" si="15"/>
        <v>69553.104000000007</v>
      </c>
      <c r="FD9" s="82">
        <f t="shared" si="15"/>
        <v>66501.948000000004</v>
      </c>
      <c r="FE9" s="87">
        <f t="shared" si="15"/>
        <v>3.51</v>
      </c>
      <c r="FF9" s="82">
        <f t="shared" si="15"/>
        <v>158598.64799999999</v>
      </c>
      <c r="FG9" s="87">
        <f t="shared" ref="FG9" si="16">SUM(FG10:FG13)</f>
        <v>3.51</v>
      </c>
      <c r="FH9" s="119">
        <f>SUM(FH10:FH13)</f>
        <v>152150.076</v>
      </c>
      <c r="FI9" s="56"/>
      <c r="FJ9" s="56"/>
      <c r="FK9" s="75"/>
    </row>
    <row r="10" spans="1:172" s="1" customFormat="1" ht="12.75" customHeight="1" x14ac:dyDescent="0.2">
      <c r="A10" s="32" t="s">
        <v>20</v>
      </c>
      <c r="B10" s="40" t="s">
        <v>114</v>
      </c>
      <c r="C10" s="31">
        <v>1.1200000000000001</v>
      </c>
      <c r="D10" s="9">
        <f>$C$10*D38*12</f>
        <v>6486.1440000000002</v>
      </c>
      <c r="E10" s="9">
        <f t="shared" ref="E10:BO10" si="17">$C$10*E38*12</f>
        <v>7944.384</v>
      </c>
      <c r="F10" s="9">
        <f t="shared" si="17"/>
        <v>6199.8720000000012</v>
      </c>
      <c r="G10" s="9">
        <f t="shared" si="17"/>
        <v>5738.880000000001</v>
      </c>
      <c r="H10" s="9">
        <f t="shared" si="17"/>
        <v>18325.440000000002</v>
      </c>
      <c r="I10" s="9">
        <f t="shared" si="17"/>
        <v>7832.8320000000003</v>
      </c>
      <c r="J10" s="9">
        <f t="shared" si="17"/>
        <v>7801.920000000001</v>
      </c>
      <c r="K10" s="9">
        <f t="shared" si="17"/>
        <v>7421.5680000000011</v>
      </c>
      <c r="L10" s="9">
        <f t="shared" si="17"/>
        <v>7585.5360000000001</v>
      </c>
      <c r="M10" s="9">
        <f t="shared" si="17"/>
        <v>8108.3520000000008</v>
      </c>
      <c r="N10" s="9">
        <f t="shared" si="17"/>
        <v>4650.2400000000007</v>
      </c>
      <c r="O10" s="9">
        <f t="shared" si="17"/>
        <v>10872.960000000001</v>
      </c>
      <c r="P10" s="9">
        <f t="shared" si="17"/>
        <v>7793.8560000000007</v>
      </c>
      <c r="Q10" s="9">
        <f t="shared" si="17"/>
        <v>6248.2559999999994</v>
      </c>
      <c r="R10" s="9">
        <f t="shared" si="17"/>
        <v>7029.1200000000008</v>
      </c>
      <c r="S10" s="9">
        <f t="shared" si="17"/>
        <v>9788.3520000000008</v>
      </c>
      <c r="T10" s="9">
        <f t="shared" si="17"/>
        <v>8041.152</v>
      </c>
      <c r="U10" s="9">
        <f t="shared" si="17"/>
        <v>6147.4560000000001</v>
      </c>
      <c r="V10" s="9">
        <f t="shared" si="17"/>
        <v>6388.0320000000002</v>
      </c>
      <c r="W10" s="9">
        <f t="shared" si="17"/>
        <v>6189.1200000000008</v>
      </c>
      <c r="X10" s="9">
        <f t="shared" si="17"/>
        <v>9796.4160000000011</v>
      </c>
      <c r="Y10" s="9">
        <f t="shared" si="17"/>
        <v>6218.6880000000001</v>
      </c>
      <c r="Z10" s="9">
        <f t="shared" si="17"/>
        <v>6127.2960000000003</v>
      </c>
      <c r="AA10" s="9">
        <f t="shared" si="17"/>
        <v>6941.76</v>
      </c>
      <c r="AB10" s="9">
        <f t="shared" si="17"/>
        <v>6947.1360000000004</v>
      </c>
      <c r="AC10" s="9">
        <f t="shared" si="17"/>
        <v>6902.7840000000015</v>
      </c>
      <c r="AD10" s="9">
        <f t="shared" si="17"/>
        <v>6350.4000000000005</v>
      </c>
      <c r="AE10" s="9">
        <f t="shared" si="17"/>
        <v>6409.5360000000001</v>
      </c>
      <c r="AF10" s="9">
        <f t="shared" si="17"/>
        <v>6486.1440000000002</v>
      </c>
      <c r="AG10" s="9">
        <f t="shared" si="17"/>
        <v>6367.8720000000012</v>
      </c>
      <c r="AH10" s="9">
        <f t="shared" si="17"/>
        <v>6968.64</v>
      </c>
      <c r="AI10" s="9">
        <f t="shared" si="17"/>
        <v>7576.1280000000024</v>
      </c>
      <c r="AJ10" s="9">
        <f t="shared" si="17"/>
        <v>6474.0480000000007</v>
      </c>
      <c r="AK10" s="9">
        <f t="shared" si="17"/>
        <v>11782.848000000002</v>
      </c>
      <c r="AL10" s="9">
        <f t="shared" si="17"/>
        <v>6384</v>
      </c>
      <c r="AM10" s="9">
        <f t="shared" si="17"/>
        <v>6127.2960000000003</v>
      </c>
      <c r="AN10" s="9">
        <f t="shared" si="17"/>
        <v>5764.4160000000002</v>
      </c>
      <c r="AO10" s="9">
        <f t="shared" si="17"/>
        <v>9780.2880000000005</v>
      </c>
      <c r="AP10" s="9">
        <f t="shared" si="17"/>
        <v>5638.08</v>
      </c>
      <c r="AQ10" s="9">
        <f t="shared" si="17"/>
        <v>8002.1760000000013</v>
      </c>
      <c r="AR10" s="9">
        <f t="shared" si="17"/>
        <v>9944.2560000000012</v>
      </c>
      <c r="AS10" s="9">
        <f t="shared" si="17"/>
        <v>13095.936</v>
      </c>
      <c r="AT10" s="9">
        <f t="shared" si="17"/>
        <v>7637.9519999999993</v>
      </c>
      <c r="AU10" s="9">
        <f t="shared" si="17"/>
        <v>8922.8160000000007</v>
      </c>
      <c r="AV10" s="9">
        <f t="shared" si="17"/>
        <v>7142.0159999999996</v>
      </c>
      <c r="AW10" s="9">
        <f t="shared" si="17"/>
        <v>5667.6480000000001</v>
      </c>
      <c r="AX10" s="9">
        <f t="shared" si="17"/>
        <v>6362.4959999999992</v>
      </c>
      <c r="AY10" s="9">
        <f t="shared" si="17"/>
        <v>7307.3280000000013</v>
      </c>
      <c r="AZ10" s="9">
        <f t="shared" si="17"/>
        <v>6947.1360000000004</v>
      </c>
      <c r="BA10" s="9">
        <f t="shared" si="17"/>
        <v>7887.9360000000015</v>
      </c>
      <c r="BB10" s="9">
        <f t="shared" si="17"/>
        <v>5877.3120000000008</v>
      </c>
      <c r="BC10" s="9">
        <f t="shared" si="17"/>
        <v>5795.3280000000004</v>
      </c>
      <c r="BD10" s="9">
        <f t="shared" si="17"/>
        <v>7064.0640000000003</v>
      </c>
      <c r="BE10" s="9">
        <f t="shared" si="17"/>
        <v>6816.7680000000009</v>
      </c>
      <c r="BF10" s="9">
        <f t="shared" si="17"/>
        <v>6691.7759999999998</v>
      </c>
      <c r="BG10" s="9">
        <f t="shared" si="17"/>
        <v>5987.52</v>
      </c>
      <c r="BH10" s="9">
        <f t="shared" si="17"/>
        <v>5788.6080000000002</v>
      </c>
      <c r="BI10" s="9">
        <f t="shared" si="17"/>
        <v>7217.2800000000007</v>
      </c>
      <c r="BJ10" s="9">
        <f t="shared" si="17"/>
        <v>7207.8720000000012</v>
      </c>
      <c r="BK10" s="9">
        <f t="shared" si="17"/>
        <v>6373.2480000000005</v>
      </c>
      <c r="BL10" s="9">
        <f t="shared" si="17"/>
        <v>9894.5280000000021</v>
      </c>
      <c r="BM10" s="9">
        <f t="shared" si="17"/>
        <v>9910.6560000000009</v>
      </c>
      <c r="BN10" s="9">
        <f t="shared" si="17"/>
        <v>6222.7200000000012</v>
      </c>
      <c r="BO10" s="9">
        <f t="shared" si="17"/>
        <v>7504.8960000000006</v>
      </c>
      <c r="BP10" s="31">
        <v>1.1200000000000001</v>
      </c>
      <c r="BQ10" s="9">
        <f>$C$10*BQ38*12</f>
        <v>6552</v>
      </c>
      <c r="BR10" s="51" t="s">
        <v>20</v>
      </c>
      <c r="BS10" s="31" t="s">
        <v>121</v>
      </c>
      <c r="BT10" s="31">
        <v>1.1200000000000001</v>
      </c>
      <c r="BU10" s="111">
        <f>$BT$10*BU38*12</f>
        <v>6127.2960000000003</v>
      </c>
      <c r="BV10" s="111">
        <f t="shared" ref="BV10:BX10" si="18">$BT$10*BV38*12</f>
        <v>6179.7120000000014</v>
      </c>
      <c r="BW10" s="111">
        <f t="shared" si="18"/>
        <v>6951.1680000000015</v>
      </c>
      <c r="BX10" s="111">
        <f t="shared" si="18"/>
        <v>6936.384</v>
      </c>
      <c r="BY10" s="51" t="s">
        <v>20</v>
      </c>
      <c r="BZ10" s="31" t="s">
        <v>131</v>
      </c>
      <c r="CA10" s="31">
        <v>1.1200000000000001</v>
      </c>
      <c r="CB10" s="111">
        <f>$CA$10*CB38*12</f>
        <v>6107.1360000000004</v>
      </c>
      <c r="CC10" s="111">
        <f t="shared" ref="CC10:CF10" si="19">$CA$10*CC38*12</f>
        <v>6211.9679999999998</v>
      </c>
      <c r="CD10" s="111">
        <f t="shared" si="19"/>
        <v>6355.7759999999998</v>
      </c>
      <c r="CE10" s="111">
        <f t="shared" si="19"/>
        <v>6150.1440000000002</v>
      </c>
      <c r="CF10" s="111">
        <f t="shared" si="19"/>
        <v>6220.0320000000002</v>
      </c>
      <c r="CG10" s="52" t="s">
        <v>20</v>
      </c>
      <c r="CH10" s="41" t="s">
        <v>114</v>
      </c>
      <c r="CI10" s="31">
        <v>1.1200000000000001</v>
      </c>
      <c r="CJ10" s="111">
        <f t="shared" ref="CJ10:DJ10" si="20">$CI$10*CJ38*12</f>
        <v>6021.1200000000008</v>
      </c>
      <c r="CK10" s="111">
        <f t="shared" si="20"/>
        <v>7593.6</v>
      </c>
      <c r="CL10" s="111">
        <f t="shared" si="20"/>
        <v>7608.384</v>
      </c>
      <c r="CM10" s="111">
        <f t="shared" si="20"/>
        <v>6449.8560000000007</v>
      </c>
      <c r="CN10" s="111">
        <f t="shared" si="20"/>
        <v>7490.112000000001</v>
      </c>
      <c r="CO10" s="111">
        <f t="shared" si="20"/>
        <v>9668.7360000000008</v>
      </c>
      <c r="CP10" s="111">
        <f t="shared" si="20"/>
        <v>6443.1360000000004</v>
      </c>
      <c r="CQ10" s="111">
        <f t="shared" si="20"/>
        <v>6214.6560000000009</v>
      </c>
      <c r="CR10" s="111">
        <f t="shared" si="20"/>
        <v>5650.1760000000004</v>
      </c>
      <c r="CS10" s="111">
        <f t="shared" si="20"/>
        <v>11909.184000000001</v>
      </c>
      <c r="CT10" s="111">
        <f t="shared" si="20"/>
        <v>9723.84</v>
      </c>
      <c r="CU10" s="111">
        <f t="shared" si="20"/>
        <v>7566.7200000000012</v>
      </c>
      <c r="CV10" s="111">
        <f t="shared" si="20"/>
        <v>7740.0960000000005</v>
      </c>
      <c r="CW10" s="111">
        <f t="shared" si="20"/>
        <v>4655.616</v>
      </c>
      <c r="CX10" s="111">
        <f t="shared" si="20"/>
        <v>8188.9920000000002</v>
      </c>
      <c r="CY10" s="111">
        <f t="shared" si="20"/>
        <v>7430.9760000000006</v>
      </c>
      <c r="CZ10" s="111">
        <f t="shared" si="20"/>
        <v>6772.4160000000011</v>
      </c>
      <c r="DA10" s="111">
        <f t="shared" si="20"/>
        <v>6807.3600000000006</v>
      </c>
      <c r="DB10" s="111">
        <f t="shared" si="20"/>
        <v>7077.5040000000008</v>
      </c>
      <c r="DC10" s="111">
        <f t="shared" si="20"/>
        <v>6222.7200000000012</v>
      </c>
      <c r="DD10" s="111">
        <f t="shared" si="20"/>
        <v>6967.2960000000003</v>
      </c>
      <c r="DE10" s="111">
        <f t="shared" si="20"/>
        <v>7039.8719999999994</v>
      </c>
      <c r="DF10" s="111">
        <f t="shared" si="20"/>
        <v>7576.1280000000024</v>
      </c>
      <c r="DG10" s="111">
        <f t="shared" si="20"/>
        <v>8162.112000000001</v>
      </c>
      <c r="DH10" s="111">
        <f t="shared" si="20"/>
        <v>8385.2160000000003</v>
      </c>
      <c r="DI10" s="111">
        <f>$CI$10*DI38*12</f>
        <v>6785.8560000000007</v>
      </c>
      <c r="DJ10" s="111">
        <f t="shared" si="20"/>
        <v>7377.2160000000003</v>
      </c>
      <c r="DK10" s="31">
        <v>1.1200000000000001</v>
      </c>
      <c r="DL10" s="111">
        <f>$CI$10*DL38*12</f>
        <v>6584.2559999999994</v>
      </c>
      <c r="DM10" s="31">
        <v>1.1200000000000001</v>
      </c>
      <c r="DN10" s="111">
        <f>$CI$10*DN38*12</f>
        <v>7452.4800000000014</v>
      </c>
      <c r="DO10" s="31">
        <v>1.1200000000000001</v>
      </c>
      <c r="DP10" s="111">
        <f>$CI$10*DP38*12</f>
        <v>6789.8880000000008</v>
      </c>
      <c r="DQ10" s="31">
        <v>1.1200000000000001</v>
      </c>
      <c r="DR10" s="111">
        <f>$CI$10*DR38*12</f>
        <v>6843.648000000001</v>
      </c>
      <c r="DS10" s="31">
        <v>1.1200000000000001</v>
      </c>
      <c r="DT10" s="111">
        <f>$CI$10*DT38*12</f>
        <v>13360.704000000002</v>
      </c>
      <c r="DU10" s="31">
        <v>1.1200000000000001</v>
      </c>
      <c r="DV10" s="111">
        <f>$CI$10*DV38*12</f>
        <v>7646.0159999999996</v>
      </c>
      <c r="DW10" s="31">
        <v>1.1200000000000001</v>
      </c>
      <c r="DX10" s="111">
        <f>$CI$10*DX38*12</f>
        <v>6064.1280000000006</v>
      </c>
      <c r="DY10" s="31">
        <v>1.1200000000000001</v>
      </c>
      <c r="DZ10" s="111">
        <f>$CI$10*DZ38*12</f>
        <v>6105.7920000000013</v>
      </c>
      <c r="EA10" s="31">
        <v>1.1200000000000001</v>
      </c>
      <c r="EB10" s="111">
        <f>$CI$10*EB38*12</f>
        <v>6272.4480000000003</v>
      </c>
      <c r="EC10" s="31">
        <v>1.1200000000000001</v>
      </c>
      <c r="ED10" s="111">
        <f>$CI$10*ED38*12</f>
        <v>7174.2719999999999</v>
      </c>
      <c r="EE10" s="31">
        <v>1.1200000000000001</v>
      </c>
      <c r="EF10" s="111">
        <f>$CI$10*EF38*12</f>
        <v>6300.6720000000005</v>
      </c>
      <c r="EG10" s="31">
        <v>1.1200000000000001</v>
      </c>
      <c r="EH10" s="111">
        <f>$CI$10*EH38*12</f>
        <v>6935.0400000000009</v>
      </c>
      <c r="EI10" s="31">
        <v>1.1200000000000001</v>
      </c>
      <c r="EJ10" s="111">
        <f>$CI$10*EJ38*12</f>
        <v>7594.9440000000004</v>
      </c>
      <c r="EK10" s="51" t="s">
        <v>20</v>
      </c>
      <c r="EL10" s="31" t="s">
        <v>121</v>
      </c>
      <c r="EM10" s="31">
        <v>1.1200000000000001</v>
      </c>
      <c r="EN10" s="111">
        <f>$EM$10*EN38*12</f>
        <v>6584.2559999999994</v>
      </c>
      <c r="EO10" s="111">
        <f t="shared" ref="EO10:EP10" si="21">$EM$10*EO38*12</f>
        <v>6288.576</v>
      </c>
      <c r="EP10" s="111">
        <f t="shared" si="21"/>
        <v>6584.2559999999994</v>
      </c>
      <c r="EQ10" s="31">
        <v>1.1200000000000001</v>
      </c>
      <c r="ER10" s="111">
        <f>$EM$10*ER38*12</f>
        <v>6261.6959999999999</v>
      </c>
      <c r="ES10" s="51" t="s">
        <v>20</v>
      </c>
      <c r="ET10" s="31" t="s">
        <v>131</v>
      </c>
      <c r="EU10" s="31">
        <v>1.1200000000000001</v>
      </c>
      <c r="EV10" s="111">
        <f>$EU$10*EV38*12</f>
        <v>6127.2960000000003</v>
      </c>
      <c r="EW10" s="111">
        <f t="shared" ref="EW10:EX10" si="22">$EU$10*EW38*12</f>
        <v>5588.3520000000008</v>
      </c>
      <c r="EX10" s="111">
        <f t="shared" si="22"/>
        <v>6260.3520000000008</v>
      </c>
      <c r="EY10" s="61" t="s">
        <v>157</v>
      </c>
      <c r="EZ10" s="62" t="s">
        <v>158</v>
      </c>
      <c r="FA10" s="81">
        <v>1.1399999999999999</v>
      </c>
      <c r="FB10" s="83">
        <f>1.14*12*FB38</f>
        <v>53985.383999999998</v>
      </c>
      <c r="FC10" s="83">
        <f>1.14*12*FC38</f>
        <v>31589.855999999996</v>
      </c>
      <c r="FD10" s="83">
        <f>1.14*12*FD38</f>
        <v>30204.072</v>
      </c>
      <c r="FE10" s="88">
        <v>1.88</v>
      </c>
      <c r="FF10" s="89">
        <f>1.88*12*FF38</f>
        <v>84947.423999999999</v>
      </c>
      <c r="FG10" s="88">
        <v>1.88</v>
      </c>
      <c r="FH10" s="113">
        <f>1.88*12*FH38</f>
        <v>81493.487999999998</v>
      </c>
      <c r="FI10" s="72"/>
      <c r="FJ10" s="72"/>
      <c r="FK10" s="75"/>
    </row>
    <row r="11" spans="1:172" s="1" customFormat="1" ht="27.75" customHeight="1" x14ac:dyDescent="0.2">
      <c r="A11" s="32" t="s">
        <v>105</v>
      </c>
      <c r="B11" s="40" t="s">
        <v>115</v>
      </c>
      <c r="C11" s="31">
        <v>0.05</v>
      </c>
      <c r="D11" s="9">
        <f>$C$11*D38*12</f>
        <v>289.56000000000006</v>
      </c>
      <c r="E11" s="9">
        <f t="shared" ref="E11:BO11" si="23">$C$11*E38*12</f>
        <v>354.66</v>
      </c>
      <c r="F11" s="9">
        <f t="shared" si="23"/>
        <v>276.78000000000003</v>
      </c>
      <c r="G11" s="9">
        <f t="shared" si="23"/>
        <v>256.20000000000005</v>
      </c>
      <c r="H11" s="9">
        <f t="shared" si="23"/>
        <v>818.09999999999991</v>
      </c>
      <c r="I11" s="9">
        <f t="shared" si="23"/>
        <v>349.68</v>
      </c>
      <c r="J11" s="9">
        <f t="shared" si="23"/>
        <v>348.3</v>
      </c>
      <c r="K11" s="9">
        <f t="shared" si="23"/>
        <v>331.32000000000005</v>
      </c>
      <c r="L11" s="9">
        <f t="shared" si="23"/>
        <v>338.64</v>
      </c>
      <c r="M11" s="9">
        <f t="shared" si="23"/>
        <v>361.98</v>
      </c>
      <c r="N11" s="9">
        <f t="shared" si="23"/>
        <v>207.60000000000002</v>
      </c>
      <c r="O11" s="9">
        <f t="shared" si="23"/>
        <v>485.40000000000003</v>
      </c>
      <c r="P11" s="9">
        <f t="shared" si="23"/>
        <v>347.94</v>
      </c>
      <c r="Q11" s="9">
        <f t="shared" si="23"/>
        <v>278.94</v>
      </c>
      <c r="R11" s="9">
        <f t="shared" si="23"/>
        <v>313.8</v>
      </c>
      <c r="S11" s="9">
        <f t="shared" si="23"/>
        <v>436.98</v>
      </c>
      <c r="T11" s="9">
        <f t="shared" si="23"/>
        <v>358.98</v>
      </c>
      <c r="U11" s="9">
        <f t="shared" si="23"/>
        <v>274.44</v>
      </c>
      <c r="V11" s="9">
        <f t="shared" si="23"/>
        <v>285.18</v>
      </c>
      <c r="W11" s="9">
        <f t="shared" si="23"/>
        <v>276.3</v>
      </c>
      <c r="X11" s="9">
        <f t="shared" si="23"/>
        <v>437.34000000000003</v>
      </c>
      <c r="Y11" s="9">
        <f t="shared" si="23"/>
        <v>277.62</v>
      </c>
      <c r="Z11" s="9">
        <f t="shared" si="23"/>
        <v>273.54000000000002</v>
      </c>
      <c r="AA11" s="9">
        <f t="shared" si="23"/>
        <v>309.90000000000003</v>
      </c>
      <c r="AB11" s="9">
        <f t="shared" si="23"/>
        <v>310.14</v>
      </c>
      <c r="AC11" s="9">
        <f t="shared" si="23"/>
        <v>308.16000000000003</v>
      </c>
      <c r="AD11" s="9">
        <f t="shared" si="23"/>
        <v>283.5</v>
      </c>
      <c r="AE11" s="9">
        <f t="shared" si="23"/>
        <v>286.14</v>
      </c>
      <c r="AF11" s="9">
        <f t="shared" si="23"/>
        <v>289.56000000000006</v>
      </c>
      <c r="AG11" s="9">
        <f t="shared" si="23"/>
        <v>284.28000000000003</v>
      </c>
      <c r="AH11" s="9">
        <f t="shared" si="23"/>
        <v>311.10000000000002</v>
      </c>
      <c r="AI11" s="9">
        <f t="shared" si="23"/>
        <v>338.22</v>
      </c>
      <c r="AJ11" s="9">
        <f t="shared" si="23"/>
        <v>289.02</v>
      </c>
      <c r="AK11" s="9">
        <f t="shared" si="23"/>
        <v>526.0200000000001</v>
      </c>
      <c r="AL11" s="9">
        <f t="shared" si="23"/>
        <v>285</v>
      </c>
      <c r="AM11" s="9">
        <f t="shared" si="23"/>
        <v>273.54000000000002</v>
      </c>
      <c r="AN11" s="9">
        <f t="shared" si="23"/>
        <v>257.34000000000003</v>
      </c>
      <c r="AO11" s="9">
        <f t="shared" si="23"/>
        <v>436.62000000000006</v>
      </c>
      <c r="AP11" s="9">
        <f t="shared" si="23"/>
        <v>251.70000000000002</v>
      </c>
      <c r="AQ11" s="9">
        <f t="shared" si="23"/>
        <v>357.24</v>
      </c>
      <c r="AR11" s="9">
        <f t="shared" si="23"/>
        <v>443.93999999999994</v>
      </c>
      <c r="AS11" s="9">
        <f t="shared" si="23"/>
        <v>584.64</v>
      </c>
      <c r="AT11" s="9">
        <f t="shared" si="23"/>
        <v>340.98</v>
      </c>
      <c r="AU11" s="9">
        <f t="shared" si="23"/>
        <v>398.34000000000003</v>
      </c>
      <c r="AV11" s="9">
        <f t="shared" si="23"/>
        <v>318.84000000000003</v>
      </c>
      <c r="AW11" s="9">
        <f t="shared" si="23"/>
        <v>253.02</v>
      </c>
      <c r="AX11" s="9">
        <f t="shared" si="23"/>
        <v>284.04000000000002</v>
      </c>
      <c r="AY11" s="9">
        <f t="shared" si="23"/>
        <v>326.22000000000003</v>
      </c>
      <c r="AZ11" s="9">
        <f t="shared" si="23"/>
        <v>310.14</v>
      </c>
      <c r="BA11" s="9">
        <f t="shared" si="23"/>
        <v>352.14</v>
      </c>
      <c r="BB11" s="9">
        <f t="shared" si="23"/>
        <v>262.38</v>
      </c>
      <c r="BC11" s="9">
        <f t="shared" si="23"/>
        <v>258.72000000000003</v>
      </c>
      <c r="BD11" s="9">
        <f t="shared" si="23"/>
        <v>315.36</v>
      </c>
      <c r="BE11" s="9">
        <f t="shared" si="23"/>
        <v>304.32</v>
      </c>
      <c r="BF11" s="9">
        <f t="shared" si="23"/>
        <v>298.74</v>
      </c>
      <c r="BG11" s="9">
        <f t="shared" si="23"/>
        <v>267.3</v>
      </c>
      <c r="BH11" s="9">
        <f t="shared" si="23"/>
        <v>258.42</v>
      </c>
      <c r="BI11" s="9">
        <f t="shared" si="23"/>
        <v>322.20000000000005</v>
      </c>
      <c r="BJ11" s="9">
        <f t="shared" si="23"/>
        <v>321.77999999999997</v>
      </c>
      <c r="BK11" s="9">
        <f t="shared" si="23"/>
        <v>284.52</v>
      </c>
      <c r="BL11" s="9">
        <f t="shared" si="23"/>
        <v>441.72</v>
      </c>
      <c r="BM11" s="9">
        <f t="shared" si="23"/>
        <v>442.43999999999994</v>
      </c>
      <c r="BN11" s="9">
        <f t="shared" si="23"/>
        <v>277.8</v>
      </c>
      <c r="BO11" s="9">
        <f t="shared" si="23"/>
        <v>335.04</v>
      </c>
      <c r="BP11" s="31">
        <v>0.05</v>
      </c>
      <c r="BQ11" s="9">
        <f>$C$11*BQ38*12</f>
        <v>292.5</v>
      </c>
      <c r="BR11" s="52" t="s">
        <v>105</v>
      </c>
      <c r="BS11" s="31" t="s">
        <v>122</v>
      </c>
      <c r="BT11" s="31">
        <v>0.05</v>
      </c>
      <c r="BU11" s="9">
        <f>$BT$11*BU38*12</f>
        <v>273.54000000000002</v>
      </c>
      <c r="BV11" s="9">
        <f t="shared" ref="BV11:BX11" si="24">$BT$11*BV38*12</f>
        <v>275.88</v>
      </c>
      <c r="BW11" s="9">
        <f t="shared" si="24"/>
        <v>310.32000000000005</v>
      </c>
      <c r="BX11" s="9">
        <f t="shared" si="24"/>
        <v>309.66000000000003</v>
      </c>
      <c r="BY11" s="52" t="s">
        <v>105</v>
      </c>
      <c r="BZ11" s="31" t="s">
        <v>131</v>
      </c>
      <c r="CA11" s="31">
        <v>0.05</v>
      </c>
      <c r="CB11" s="9">
        <f>$CA$11*CB38*12</f>
        <v>272.64</v>
      </c>
      <c r="CC11" s="9">
        <f t="shared" ref="CC11:CF11" si="25">$CA$11*CC38*12</f>
        <v>277.32</v>
      </c>
      <c r="CD11" s="9">
        <f t="shared" si="25"/>
        <v>283.74</v>
      </c>
      <c r="CE11" s="9">
        <f t="shared" si="25"/>
        <v>274.56000000000006</v>
      </c>
      <c r="CF11" s="9">
        <f t="shared" si="25"/>
        <v>277.68</v>
      </c>
      <c r="CG11" s="52" t="s">
        <v>105</v>
      </c>
      <c r="CH11" s="41" t="s">
        <v>115</v>
      </c>
      <c r="CI11" s="31">
        <v>0.05</v>
      </c>
      <c r="CJ11" s="9">
        <f t="shared" ref="CJ11:DJ11" si="26">$CI$11*CJ38*12</f>
        <v>268.8</v>
      </c>
      <c r="CK11" s="9">
        <f t="shared" si="26"/>
        <v>339</v>
      </c>
      <c r="CL11" s="9">
        <f t="shared" si="26"/>
        <v>339.66</v>
      </c>
      <c r="CM11" s="9">
        <f t="shared" si="26"/>
        <v>287.94</v>
      </c>
      <c r="CN11" s="9">
        <f t="shared" si="26"/>
        <v>334.38</v>
      </c>
      <c r="CO11" s="9">
        <f t="shared" si="26"/>
        <v>431.64</v>
      </c>
      <c r="CP11" s="9">
        <f t="shared" si="26"/>
        <v>287.64</v>
      </c>
      <c r="CQ11" s="9">
        <f t="shared" si="26"/>
        <v>277.44</v>
      </c>
      <c r="CR11" s="9">
        <f t="shared" si="26"/>
        <v>252.24</v>
      </c>
      <c r="CS11" s="9">
        <f t="shared" si="26"/>
        <v>531.66000000000008</v>
      </c>
      <c r="CT11" s="9">
        <f t="shared" si="26"/>
        <v>434.1</v>
      </c>
      <c r="CU11" s="9">
        <f t="shared" si="26"/>
        <v>337.8</v>
      </c>
      <c r="CV11" s="9">
        <f t="shared" si="26"/>
        <v>345.54</v>
      </c>
      <c r="CW11" s="9">
        <f t="shared" si="26"/>
        <v>207.84</v>
      </c>
      <c r="CX11" s="9">
        <f t="shared" si="26"/>
        <v>365.58</v>
      </c>
      <c r="CY11" s="9">
        <f t="shared" si="26"/>
        <v>331.74</v>
      </c>
      <c r="CZ11" s="9">
        <f t="shared" si="26"/>
        <v>302.34000000000003</v>
      </c>
      <c r="DA11" s="9">
        <f t="shared" si="26"/>
        <v>303.90000000000003</v>
      </c>
      <c r="DB11" s="9">
        <f t="shared" si="26"/>
        <v>315.96000000000004</v>
      </c>
      <c r="DC11" s="9">
        <f t="shared" si="26"/>
        <v>277.8</v>
      </c>
      <c r="DD11" s="9">
        <f t="shared" si="26"/>
        <v>311.04000000000002</v>
      </c>
      <c r="DE11" s="9">
        <f t="shared" si="26"/>
        <v>314.27999999999997</v>
      </c>
      <c r="DF11" s="9">
        <f t="shared" si="26"/>
        <v>338.22</v>
      </c>
      <c r="DG11" s="9">
        <f t="shared" si="26"/>
        <v>364.38</v>
      </c>
      <c r="DH11" s="9">
        <f t="shared" si="26"/>
        <v>374.34000000000003</v>
      </c>
      <c r="DI11" s="9">
        <f>$CI$11*DI38*12</f>
        <v>302.94</v>
      </c>
      <c r="DJ11" s="9">
        <f t="shared" si="26"/>
        <v>329.34000000000003</v>
      </c>
      <c r="DK11" s="31">
        <v>0.05</v>
      </c>
      <c r="DL11" s="9">
        <f>$CI$11*DL38*12</f>
        <v>293.94</v>
      </c>
      <c r="DM11" s="31">
        <v>0.05</v>
      </c>
      <c r="DN11" s="9">
        <f>$CI$11*DN38*12</f>
        <v>332.70000000000005</v>
      </c>
      <c r="DO11" s="31">
        <v>0.05</v>
      </c>
      <c r="DP11" s="9">
        <f>$CI$11*DP38*12</f>
        <v>303.12</v>
      </c>
      <c r="DQ11" s="31">
        <v>0.05</v>
      </c>
      <c r="DR11" s="9">
        <f>$CI$11*DR38*12</f>
        <v>305.52</v>
      </c>
      <c r="DS11" s="31">
        <v>0.05</v>
      </c>
      <c r="DT11" s="9">
        <f>$CI$11*DT38*12</f>
        <v>596.46</v>
      </c>
      <c r="DU11" s="31">
        <v>0.05</v>
      </c>
      <c r="DV11" s="9">
        <f>$CI$11*DV38*12</f>
        <v>341.34000000000003</v>
      </c>
      <c r="DW11" s="31">
        <v>0.05</v>
      </c>
      <c r="DX11" s="9">
        <f>$CI$11*DX38*12</f>
        <v>270.72000000000003</v>
      </c>
      <c r="DY11" s="31">
        <v>0.05</v>
      </c>
      <c r="DZ11" s="9">
        <f>$CI$11*DZ38*12</f>
        <v>272.58000000000004</v>
      </c>
      <c r="EA11" s="31">
        <v>0.05</v>
      </c>
      <c r="EB11" s="9">
        <f>$CI$11*EB38*12</f>
        <v>280.02</v>
      </c>
      <c r="EC11" s="31">
        <v>0.05</v>
      </c>
      <c r="ED11" s="9">
        <f>$CI$11*ED38*12</f>
        <v>320.27999999999997</v>
      </c>
      <c r="EE11" s="31">
        <v>0.05</v>
      </c>
      <c r="EF11" s="9">
        <f>$CI$11*EF38*12</f>
        <v>281.28000000000003</v>
      </c>
      <c r="EG11" s="31">
        <v>0.05</v>
      </c>
      <c r="EH11" s="9">
        <f>$CI$11*EH38*12</f>
        <v>309.60000000000002</v>
      </c>
      <c r="EI11" s="31">
        <v>0.05</v>
      </c>
      <c r="EJ11" s="9">
        <f>$CI$11*EJ38*12</f>
        <v>339.06000000000006</v>
      </c>
      <c r="EK11" s="52" t="s">
        <v>105</v>
      </c>
      <c r="EL11" s="31" t="s">
        <v>122</v>
      </c>
      <c r="EM11" s="31">
        <v>0.05</v>
      </c>
      <c r="EN11" s="9">
        <f>$EM$11*EN38*12</f>
        <v>293.94</v>
      </c>
      <c r="EO11" s="9">
        <f t="shared" ref="EO11:EP11" si="27">$EM$11*EO38*12</f>
        <v>280.74</v>
      </c>
      <c r="EP11" s="9">
        <f t="shared" si="27"/>
        <v>293.94</v>
      </c>
      <c r="EQ11" s="31">
        <v>0.05</v>
      </c>
      <c r="ER11" s="9">
        <f>$EM$11*ER38*12</f>
        <v>279.54000000000002</v>
      </c>
      <c r="ES11" s="52" t="s">
        <v>105</v>
      </c>
      <c r="ET11" s="31" t="s">
        <v>131</v>
      </c>
      <c r="EU11" s="31">
        <v>0.05</v>
      </c>
      <c r="EV11" s="111">
        <f>$EU$11*EV38*12</f>
        <v>273.54000000000002</v>
      </c>
      <c r="EW11" s="111">
        <f t="shared" ref="EW11:EX11" si="28">$EU$11*EW38*12</f>
        <v>249.48000000000002</v>
      </c>
      <c r="EX11" s="111">
        <f t="shared" si="28"/>
        <v>279.48</v>
      </c>
      <c r="EY11" s="61" t="s">
        <v>159</v>
      </c>
      <c r="EZ11" s="62" t="s">
        <v>114</v>
      </c>
      <c r="FA11" s="81">
        <v>1.34</v>
      </c>
      <c r="FB11" s="83">
        <f>1.34*12*FB38</f>
        <v>63456.504000000008</v>
      </c>
      <c r="FC11" s="83">
        <f>1.34*12*FC38</f>
        <v>37131.936000000002</v>
      </c>
      <c r="FD11" s="83">
        <f>1.34*12*FD38</f>
        <v>35503.032000000007</v>
      </c>
      <c r="FE11" s="88">
        <v>1.6</v>
      </c>
      <c r="FF11" s="89">
        <f>1.6*12*FF38</f>
        <v>72295.680000000008</v>
      </c>
      <c r="FG11" s="88">
        <v>1.6</v>
      </c>
      <c r="FH11" s="113">
        <f>1.6*12*FH38</f>
        <v>69356.160000000018</v>
      </c>
      <c r="FI11" s="72"/>
      <c r="FJ11" s="72"/>
      <c r="FK11" s="75"/>
    </row>
    <row r="12" spans="1:172" s="28" customFormat="1" ht="25.5" x14ac:dyDescent="0.2">
      <c r="A12" s="32"/>
      <c r="B12" s="40"/>
      <c r="C12" s="41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41"/>
      <c r="BQ12" s="27"/>
      <c r="BR12" s="123"/>
      <c r="BS12" s="41"/>
      <c r="BT12" s="41"/>
      <c r="BU12" s="27"/>
      <c r="BV12" s="27"/>
      <c r="BW12" s="27"/>
      <c r="BX12" s="27"/>
      <c r="BY12" s="123" t="s">
        <v>132</v>
      </c>
      <c r="BZ12" s="41"/>
      <c r="CA12" s="41"/>
      <c r="CB12" s="27"/>
      <c r="CC12" s="27"/>
      <c r="CD12" s="27"/>
      <c r="CE12" s="27"/>
      <c r="CF12" s="27"/>
      <c r="CG12" s="32"/>
      <c r="CH12" s="41"/>
      <c r="CI12" s="41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41"/>
      <c r="DL12" s="27"/>
      <c r="DM12" s="41"/>
      <c r="DN12" s="27"/>
      <c r="DO12" s="41"/>
      <c r="DP12" s="27"/>
      <c r="DQ12" s="41"/>
      <c r="DR12" s="27"/>
      <c r="DS12" s="41"/>
      <c r="DT12" s="27"/>
      <c r="DU12" s="41"/>
      <c r="DV12" s="27"/>
      <c r="DW12" s="41"/>
      <c r="DX12" s="27"/>
      <c r="DY12" s="41"/>
      <c r="DZ12" s="27"/>
      <c r="EA12" s="41"/>
      <c r="EB12" s="27"/>
      <c r="EC12" s="41"/>
      <c r="ED12" s="27"/>
      <c r="EE12" s="41"/>
      <c r="EF12" s="27"/>
      <c r="EG12" s="41"/>
      <c r="EH12" s="27"/>
      <c r="EI12" s="41"/>
      <c r="EJ12" s="27"/>
      <c r="EK12" s="123"/>
      <c r="EL12" s="41"/>
      <c r="EM12" s="41"/>
      <c r="EN12" s="27"/>
      <c r="EO12" s="27"/>
      <c r="EP12" s="27"/>
      <c r="EQ12" s="41"/>
      <c r="ER12" s="27"/>
      <c r="ES12" s="123"/>
      <c r="ET12" s="41"/>
      <c r="EU12" s="41"/>
      <c r="EV12" s="27"/>
      <c r="EW12" s="54"/>
      <c r="EX12" s="54"/>
      <c r="EY12" s="61" t="s">
        <v>160</v>
      </c>
      <c r="EZ12" s="124" t="s">
        <v>125</v>
      </c>
      <c r="FA12" s="90">
        <v>0.01</v>
      </c>
      <c r="FB12" s="83">
        <f>0.01*12*FB38</f>
        <v>473.55599999999998</v>
      </c>
      <c r="FC12" s="83">
        <f>0.01*12*FC38</f>
        <v>277.10399999999998</v>
      </c>
      <c r="FD12" s="83">
        <f>0.01*12*FD38</f>
        <v>264.94799999999998</v>
      </c>
      <c r="FE12" s="88">
        <v>0.01</v>
      </c>
      <c r="FF12" s="89">
        <f>0.01*12*FF38</f>
        <v>451.84800000000001</v>
      </c>
      <c r="FG12" s="88">
        <v>0.01</v>
      </c>
      <c r="FH12" s="113">
        <f>0.01*12*FH38</f>
        <v>433.476</v>
      </c>
      <c r="FI12" s="125"/>
      <c r="FJ12" s="125"/>
      <c r="FK12" s="2"/>
    </row>
    <row r="13" spans="1:172" s="28" customFormat="1" ht="25.5" x14ac:dyDescent="0.2">
      <c r="A13" s="32"/>
      <c r="B13" s="40"/>
      <c r="C13" s="4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41"/>
      <c r="BQ13" s="27"/>
      <c r="BR13" s="126"/>
      <c r="BS13" s="126"/>
      <c r="BT13" s="126"/>
      <c r="BU13" s="27"/>
      <c r="BV13" s="27"/>
      <c r="BW13" s="27"/>
      <c r="BX13" s="27"/>
      <c r="BY13" s="123" t="s">
        <v>133</v>
      </c>
      <c r="BZ13" s="41"/>
      <c r="CA13" s="41"/>
      <c r="CB13" s="27"/>
      <c r="CC13" s="27"/>
      <c r="CD13" s="27"/>
      <c r="CE13" s="27"/>
      <c r="CF13" s="27"/>
      <c r="CG13" s="32"/>
      <c r="CH13" s="41"/>
      <c r="CI13" s="41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41"/>
      <c r="DL13" s="27"/>
      <c r="DM13" s="41"/>
      <c r="DN13" s="27"/>
      <c r="DO13" s="41"/>
      <c r="DP13" s="27"/>
      <c r="DQ13" s="41"/>
      <c r="DR13" s="27"/>
      <c r="DS13" s="41"/>
      <c r="DT13" s="27"/>
      <c r="DU13" s="41"/>
      <c r="DV13" s="27"/>
      <c r="DW13" s="41"/>
      <c r="DX13" s="27"/>
      <c r="DY13" s="41"/>
      <c r="DZ13" s="27"/>
      <c r="EA13" s="41"/>
      <c r="EB13" s="27"/>
      <c r="EC13" s="41"/>
      <c r="ED13" s="27"/>
      <c r="EE13" s="41"/>
      <c r="EF13" s="27"/>
      <c r="EG13" s="41"/>
      <c r="EH13" s="27"/>
      <c r="EI13" s="41"/>
      <c r="EJ13" s="27"/>
      <c r="EK13" s="123"/>
      <c r="EL13" s="41"/>
      <c r="EM13" s="41"/>
      <c r="EN13" s="27"/>
      <c r="EO13" s="27"/>
      <c r="EP13" s="27"/>
      <c r="EQ13" s="41"/>
      <c r="ER13" s="27"/>
      <c r="ES13" s="123"/>
      <c r="ET13" s="41"/>
      <c r="EU13" s="41"/>
      <c r="EV13" s="27"/>
      <c r="EW13" s="54"/>
      <c r="EX13" s="54"/>
      <c r="EY13" s="61" t="s">
        <v>161</v>
      </c>
      <c r="EZ13" s="124" t="s">
        <v>125</v>
      </c>
      <c r="FA13" s="90">
        <v>0.02</v>
      </c>
      <c r="FB13" s="83">
        <f>0.02*12*FB38</f>
        <v>947.11199999999997</v>
      </c>
      <c r="FC13" s="83">
        <f>0.02*12*FC38</f>
        <v>554.20799999999997</v>
      </c>
      <c r="FD13" s="83">
        <f>0.02*12*FD38</f>
        <v>529.89599999999996</v>
      </c>
      <c r="FE13" s="88">
        <v>0.02</v>
      </c>
      <c r="FF13" s="89">
        <f>0.02*12*FF38</f>
        <v>903.69600000000003</v>
      </c>
      <c r="FG13" s="88">
        <v>0.02</v>
      </c>
      <c r="FH13" s="113">
        <f>0.02*12*FH38</f>
        <v>866.952</v>
      </c>
      <c r="FI13" s="125"/>
      <c r="FJ13" s="125"/>
      <c r="FK13" s="2"/>
    </row>
    <row r="14" spans="1:172" s="28" customFormat="1" ht="37.5" customHeight="1" x14ac:dyDescent="0.2">
      <c r="A14" s="33" t="s">
        <v>11</v>
      </c>
      <c r="B14" s="40"/>
      <c r="C14" s="36">
        <f>SUM(C15:C21)</f>
        <v>4.4300000000000006</v>
      </c>
      <c r="D14" s="127">
        <f>SUM(D15:D21)</f>
        <v>25655.016000000003</v>
      </c>
      <c r="E14" s="127">
        <f t="shared" ref="E14:BC14" si="29">SUM(E15:E21)</f>
        <v>31422.876000000004</v>
      </c>
      <c r="F14" s="127">
        <f t="shared" si="29"/>
        <v>24522.708000000002</v>
      </c>
      <c r="G14" s="127">
        <f t="shared" si="29"/>
        <v>22699.32</v>
      </c>
      <c r="H14" s="127">
        <f t="shared" si="29"/>
        <v>72483.66</v>
      </c>
      <c r="I14" s="127">
        <f t="shared" si="29"/>
        <v>30981.647999999997</v>
      </c>
      <c r="J14" s="127">
        <f t="shared" si="29"/>
        <v>30859.379999999997</v>
      </c>
      <c r="K14" s="127">
        <f t="shared" si="29"/>
        <v>29354.952000000005</v>
      </c>
      <c r="L14" s="127">
        <f t="shared" si="29"/>
        <v>30003.504000000001</v>
      </c>
      <c r="M14" s="127">
        <f t="shared" si="29"/>
        <v>32071.428</v>
      </c>
      <c r="N14" s="127">
        <f t="shared" si="29"/>
        <v>18393.36</v>
      </c>
      <c r="O14" s="127">
        <f t="shared" si="29"/>
        <v>43006.44</v>
      </c>
      <c r="P14" s="127">
        <f t="shared" si="29"/>
        <v>30827.483999999997</v>
      </c>
      <c r="Q14" s="127">
        <f t="shared" si="29"/>
        <v>24714.083999999999</v>
      </c>
      <c r="R14" s="127">
        <f t="shared" si="29"/>
        <v>27802.68</v>
      </c>
      <c r="S14" s="127">
        <f t="shared" si="29"/>
        <v>38716.428</v>
      </c>
      <c r="T14" s="127">
        <f t="shared" ref="T14" si="30">SUM(T15:T21)</f>
        <v>31805.628000000001</v>
      </c>
      <c r="U14" s="127">
        <f t="shared" si="29"/>
        <v>24315.383999999998</v>
      </c>
      <c r="V14" s="127">
        <f t="shared" si="29"/>
        <v>25266.948000000004</v>
      </c>
      <c r="W14" s="127">
        <f t="shared" si="29"/>
        <v>24480.18</v>
      </c>
      <c r="X14" s="127">
        <f t="shared" si="29"/>
        <v>38748.324000000001</v>
      </c>
      <c r="Y14" s="127">
        <f t="shared" si="29"/>
        <v>24597.131999999998</v>
      </c>
      <c r="Z14" s="127">
        <f t="shared" ref="Z14" si="31">SUM(Z15:Z21)</f>
        <v>24235.644</v>
      </c>
      <c r="AA14" s="127">
        <f t="shared" si="29"/>
        <v>27457.14</v>
      </c>
      <c r="AB14" s="127">
        <f t="shared" si="29"/>
        <v>27478.403999999995</v>
      </c>
      <c r="AC14" s="127">
        <f t="shared" si="29"/>
        <v>27302.976000000002</v>
      </c>
      <c r="AD14" s="127">
        <f t="shared" si="29"/>
        <v>25118.1</v>
      </c>
      <c r="AE14" s="127">
        <f t="shared" si="29"/>
        <v>25352.004000000001</v>
      </c>
      <c r="AF14" s="127">
        <f t="shared" si="29"/>
        <v>25655.016000000003</v>
      </c>
      <c r="AG14" s="127">
        <f t="shared" si="29"/>
        <v>25187.208000000002</v>
      </c>
      <c r="AH14" s="127">
        <f t="shared" si="29"/>
        <v>27563.46</v>
      </c>
      <c r="AI14" s="127">
        <f t="shared" si="29"/>
        <v>29966.292000000001</v>
      </c>
      <c r="AJ14" s="127">
        <f t="shared" si="29"/>
        <v>25607.171999999999</v>
      </c>
      <c r="AK14" s="127">
        <f t="shared" si="29"/>
        <v>46605.372000000003</v>
      </c>
      <c r="AL14" s="127">
        <f t="shared" si="29"/>
        <v>25251</v>
      </c>
      <c r="AM14" s="127">
        <f t="shared" si="29"/>
        <v>24235.644</v>
      </c>
      <c r="AN14" s="127">
        <f t="shared" si="29"/>
        <v>22800.324000000001</v>
      </c>
      <c r="AO14" s="127">
        <f t="shared" si="29"/>
        <v>38684.532000000007</v>
      </c>
      <c r="AP14" s="127">
        <f t="shared" si="29"/>
        <v>22300.620000000003</v>
      </c>
      <c r="AQ14" s="127">
        <f t="shared" si="29"/>
        <v>31651.464</v>
      </c>
      <c r="AR14" s="127">
        <f t="shared" si="29"/>
        <v>39333.084000000003</v>
      </c>
      <c r="AS14" s="127">
        <f t="shared" si="29"/>
        <v>51799.103999999999</v>
      </c>
      <c r="AT14" s="127">
        <f t="shared" si="29"/>
        <v>30210.827999999998</v>
      </c>
      <c r="AU14" s="127">
        <f t="shared" si="29"/>
        <v>35292.923999999999</v>
      </c>
      <c r="AV14" s="127">
        <f t="shared" si="29"/>
        <v>28249.223999999998</v>
      </c>
      <c r="AW14" s="127">
        <f t="shared" si="29"/>
        <v>22417.572</v>
      </c>
      <c r="AX14" s="127">
        <f t="shared" si="29"/>
        <v>25165.944</v>
      </c>
      <c r="AY14" s="127">
        <f t="shared" si="29"/>
        <v>28903.092000000004</v>
      </c>
      <c r="AZ14" s="127">
        <f t="shared" si="29"/>
        <v>27478.403999999995</v>
      </c>
      <c r="BA14" s="127">
        <f t="shared" si="29"/>
        <v>31199.603999999999</v>
      </c>
      <c r="BB14" s="127">
        <f t="shared" si="29"/>
        <v>23246.868000000002</v>
      </c>
      <c r="BC14" s="127">
        <f t="shared" si="29"/>
        <v>22922.592000000001</v>
      </c>
      <c r="BD14" s="127">
        <f t="shared" ref="BD14:BH14" si="32">SUM(BD15:BD21)</f>
        <v>27940.896000000001</v>
      </c>
      <c r="BE14" s="127">
        <f t="shared" si="32"/>
        <v>26962.752</v>
      </c>
      <c r="BF14" s="127">
        <f t="shared" si="32"/>
        <v>26468.364000000001</v>
      </c>
      <c r="BG14" s="127">
        <f t="shared" si="32"/>
        <v>23682.78</v>
      </c>
      <c r="BH14" s="127">
        <f t="shared" si="32"/>
        <v>22896.012000000002</v>
      </c>
      <c r="BI14" s="127">
        <f t="shared" ref="BI14:BO14" si="33">SUM(BI15:BI21)</f>
        <v>28546.92</v>
      </c>
      <c r="BJ14" s="127">
        <f t="shared" si="33"/>
        <v>28509.707999999999</v>
      </c>
      <c r="BK14" s="127">
        <f t="shared" si="33"/>
        <v>25208.472000000002</v>
      </c>
      <c r="BL14" s="127">
        <f t="shared" si="33"/>
        <v>39136.392000000007</v>
      </c>
      <c r="BM14" s="127">
        <f t="shared" si="33"/>
        <v>39200.184000000001</v>
      </c>
      <c r="BN14" s="127">
        <f t="shared" ref="BN14" si="34">SUM(BN15:BN21)</f>
        <v>24613.079999999998</v>
      </c>
      <c r="BO14" s="127">
        <f t="shared" si="33"/>
        <v>29684.544000000002</v>
      </c>
      <c r="BP14" s="36">
        <f>SUM(BP15:BP21)</f>
        <v>10.34</v>
      </c>
      <c r="BQ14" s="127">
        <f>SUM(BQ15:BQ21)</f>
        <v>60489</v>
      </c>
      <c r="BR14" s="33" t="s">
        <v>11</v>
      </c>
      <c r="BS14" s="41"/>
      <c r="BT14" s="36">
        <f>SUM(BT15:BT21)</f>
        <v>4.58</v>
      </c>
      <c r="BU14" s="127">
        <f t="shared" ref="BU14:BX14" si="35">SUM(BU15:BU21)</f>
        <v>25056.263999999999</v>
      </c>
      <c r="BV14" s="127">
        <f t="shared" si="35"/>
        <v>25270.608</v>
      </c>
      <c r="BW14" s="127">
        <f t="shared" si="35"/>
        <v>28425.312000000005</v>
      </c>
      <c r="BX14" s="127">
        <f t="shared" si="35"/>
        <v>28364.856</v>
      </c>
      <c r="BY14" s="33" t="s">
        <v>11</v>
      </c>
      <c r="BZ14" s="41"/>
      <c r="CA14" s="36">
        <f>SUM(CA15:CA21)</f>
        <v>9.4499999999999993</v>
      </c>
      <c r="CB14" s="127">
        <f>SUM(CB15:CB21)</f>
        <v>51528.959999999999</v>
      </c>
      <c r="CC14" s="127">
        <f t="shared" ref="CC14:CF14" si="36">SUM(CC15:CC21)</f>
        <v>52413.479999999996</v>
      </c>
      <c r="CD14" s="127">
        <f t="shared" si="36"/>
        <v>53626.86</v>
      </c>
      <c r="CE14" s="127">
        <f t="shared" si="36"/>
        <v>51891.840000000004</v>
      </c>
      <c r="CF14" s="127">
        <f t="shared" si="36"/>
        <v>52481.520000000004</v>
      </c>
      <c r="CG14" s="33" t="s">
        <v>11</v>
      </c>
      <c r="CH14" s="41"/>
      <c r="CI14" s="36">
        <f>SUM(CI15:CI21)</f>
        <v>4.4300000000000006</v>
      </c>
      <c r="CJ14" s="127">
        <f t="shared" ref="CJ14:CS14" si="37">SUM(CJ15:CJ21)</f>
        <v>23815.68</v>
      </c>
      <c r="CK14" s="127">
        <f t="shared" si="37"/>
        <v>30035.4</v>
      </c>
      <c r="CL14" s="127">
        <f t="shared" si="37"/>
        <v>30093.876000000004</v>
      </c>
      <c r="CM14" s="127">
        <f t="shared" si="37"/>
        <v>25511.483999999997</v>
      </c>
      <c r="CN14" s="127">
        <f t="shared" si="37"/>
        <v>29626.067999999999</v>
      </c>
      <c r="CO14" s="127">
        <f t="shared" si="37"/>
        <v>38243.304000000004</v>
      </c>
      <c r="CP14" s="127">
        <f t="shared" si="37"/>
        <v>25484.903999999995</v>
      </c>
      <c r="CQ14" s="127">
        <f t="shared" si="37"/>
        <v>24581.184000000001</v>
      </c>
      <c r="CR14" s="127">
        <f t="shared" si="37"/>
        <v>22348.464</v>
      </c>
      <c r="CS14" s="127">
        <f t="shared" si="37"/>
        <v>47105.076000000001</v>
      </c>
      <c r="CT14" s="127">
        <f t="shared" ref="CT14:DF14" si="38">SUM(CT15:CT21)</f>
        <v>38461.26</v>
      </c>
      <c r="CU14" s="127">
        <f t="shared" si="38"/>
        <v>29929.08</v>
      </c>
      <c r="CV14" s="127">
        <f t="shared" si="38"/>
        <v>30614.843999999997</v>
      </c>
      <c r="CW14" s="127">
        <f t="shared" si="38"/>
        <v>18414.624</v>
      </c>
      <c r="CX14" s="127">
        <f t="shared" si="38"/>
        <v>32390.387999999999</v>
      </c>
      <c r="CY14" s="127">
        <f t="shared" si="38"/>
        <v>29392.164000000001</v>
      </c>
      <c r="CZ14" s="127">
        <f t="shared" si="38"/>
        <v>26787.324000000001</v>
      </c>
      <c r="DA14" s="127">
        <f t="shared" si="38"/>
        <v>26925.54</v>
      </c>
      <c r="DB14" s="127">
        <f t="shared" si="38"/>
        <v>27994.056000000004</v>
      </c>
      <c r="DC14" s="127">
        <f t="shared" si="38"/>
        <v>24613.079999999998</v>
      </c>
      <c r="DD14" s="127">
        <f t="shared" si="38"/>
        <v>27558.144</v>
      </c>
      <c r="DE14" s="127">
        <f t="shared" si="38"/>
        <v>27845.207999999999</v>
      </c>
      <c r="DF14" s="127">
        <f t="shared" si="38"/>
        <v>29966.292000000001</v>
      </c>
      <c r="DG14" s="127">
        <f>SUM(DG15:DG21)</f>
        <v>32284.067999999999</v>
      </c>
      <c r="DH14" s="127">
        <f t="shared" ref="DH14:DU14" si="39">SUM(DH15:DH21)</f>
        <v>33166.524000000005</v>
      </c>
      <c r="DI14" s="127">
        <f>SUM(DI15:DI21)</f>
        <v>26840.483999999997</v>
      </c>
      <c r="DJ14" s="127">
        <f t="shared" si="39"/>
        <v>29179.524000000001</v>
      </c>
      <c r="DK14" s="36">
        <f t="shared" si="39"/>
        <v>7.5200000000000005</v>
      </c>
      <c r="DL14" s="127">
        <f>SUM(DL15:DL21)</f>
        <v>44208.576000000001</v>
      </c>
      <c r="DM14" s="36">
        <f t="shared" ref="DM14:DO14" si="40">SUM(DM15:DM21)</f>
        <v>7.660000000000001</v>
      </c>
      <c r="DN14" s="127">
        <f>SUM(DN15:DN21)</f>
        <v>50969.640000000007</v>
      </c>
      <c r="DO14" s="36">
        <f t="shared" si="40"/>
        <v>9.5500000000000007</v>
      </c>
      <c r="DP14" s="127">
        <f>SUM(DP15:DP21)</f>
        <v>57895.920000000013</v>
      </c>
      <c r="DQ14" s="36">
        <f t="shared" ref="DQ14" si="41">SUM(DQ15:DQ21)</f>
        <v>10.430000000000001</v>
      </c>
      <c r="DR14" s="127">
        <f>SUM(DR15:DR21)</f>
        <v>63731.472000000009</v>
      </c>
      <c r="DS14" s="36">
        <f t="shared" ref="DS14" si="42">SUM(DS15:DS21)</f>
        <v>9.2200000000000006</v>
      </c>
      <c r="DT14" s="127">
        <f>SUM(DT15:DT21)</f>
        <v>109987.224</v>
      </c>
      <c r="DU14" s="36">
        <f t="shared" si="39"/>
        <v>8.48</v>
      </c>
      <c r="DV14" s="127">
        <f>SUM(DV15:DV21)</f>
        <v>57891.264000000003</v>
      </c>
      <c r="DW14" s="36">
        <f t="shared" ref="DW14:EJ14" si="43">SUM(DW15:DW21)</f>
        <v>10.55</v>
      </c>
      <c r="DX14" s="127">
        <f>SUM(DX15:DX21)</f>
        <v>57121.920000000006</v>
      </c>
      <c r="DY14" s="36">
        <f t="shared" si="43"/>
        <v>7.7800000000000011</v>
      </c>
      <c r="DZ14" s="127">
        <f t="shared" si="43"/>
        <v>42413.448000000004</v>
      </c>
      <c r="EA14" s="36">
        <f t="shared" si="43"/>
        <v>7.16</v>
      </c>
      <c r="EB14" s="127">
        <f t="shared" si="43"/>
        <v>40098.864000000001</v>
      </c>
      <c r="EC14" s="36">
        <f t="shared" si="43"/>
        <v>10.340000000000002</v>
      </c>
      <c r="ED14" s="127">
        <f t="shared" si="43"/>
        <v>66233.90399999998</v>
      </c>
      <c r="EE14" s="36">
        <f t="shared" si="43"/>
        <v>10.48</v>
      </c>
      <c r="EF14" s="127">
        <f t="shared" si="43"/>
        <v>58956.288</v>
      </c>
      <c r="EG14" s="36">
        <f t="shared" si="43"/>
        <v>9.370000000000001</v>
      </c>
      <c r="EH14" s="127">
        <f t="shared" si="43"/>
        <v>58019.040000000008</v>
      </c>
      <c r="EI14" s="36">
        <f t="shared" si="43"/>
        <v>8.370000000000001</v>
      </c>
      <c r="EJ14" s="127">
        <f t="shared" si="43"/>
        <v>56758.644000000008</v>
      </c>
      <c r="EK14" s="33" t="s">
        <v>11</v>
      </c>
      <c r="EL14" s="41"/>
      <c r="EM14" s="36">
        <f>SUM(EM15:EM21)</f>
        <v>4.58</v>
      </c>
      <c r="EN14" s="127">
        <f>SUM(EN15:EN21)</f>
        <v>26924.904000000002</v>
      </c>
      <c r="EO14" s="127">
        <f t="shared" ref="EO14" si="44">SUM(EO15:EO21)</f>
        <v>25715.784</v>
      </c>
      <c r="EP14" s="127">
        <f t="shared" ref="EP14" si="45">SUM(EP15:EP21)</f>
        <v>26924.904000000002</v>
      </c>
      <c r="EQ14" s="36">
        <f>SUM(EQ15:EQ21)</f>
        <v>9.4500000000000011</v>
      </c>
      <c r="ER14" s="127">
        <f>SUM(ER15:ER21)</f>
        <v>52833.06</v>
      </c>
      <c r="ES14" s="33" t="s">
        <v>11</v>
      </c>
      <c r="ET14" s="41"/>
      <c r="EU14" s="36">
        <f>SUM(EU15:EU21)</f>
        <v>9.4499999999999993</v>
      </c>
      <c r="EV14" s="127">
        <f>SUM(EV15:EV21)</f>
        <v>51699.06</v>
      </c>
      <c r="EW14" s="128">
        <f>SUM(EW15:EW21)</f>
        <v>47151.72</v>
      </c>
      <c r="EX14" s="128">
        <f>SUM(EX15:EX21)</f>
        <v>52821.72</v>
      </c>
      <c r="EY14" s="59" t="s">
        <v>11</v>
      </c>
      <c r="EZ14" s="124"/>
      <c r="FA14" s="87">
        <f t="shared" ref="FA14:FF14" si="46">SUM(FA15:FA22)</f>
        <v>4.92</v>
      </c>
      <c r="FB14" s="84">
        <f t="shared" si="46"/>
        <v>232989.55200000003</v>
      </c>
      <c r="FC14" s="84">
        <f t="shared" si="46"/>
        <v>136335.16799999998</v>
      </c>
      <c r="FD14" s="84">
        <f t="shared" si="46"/>
        <v>130354.416</v>
      </c>
      <c r="FE14" s="87">
        <f t="shared" si="46"/>
        <v>4.6500000000000004</v>
      </c>
      <c r="FF14" s="84">
        <f t="shared" si="46"/>
        <v>210109.32</v>
      </c>
      <c r="FG14" s="87">
        <f>SUM(FG15:FG23)</f>
        <v>7.17</v>
      </c>
      <c r="FH14" s="119">
        <f>SUM(FH15:FH23)</f>
        <v>310802.29200000007</v>
      </c>
      <c r="FI14" s="129"/>
      <c r="FJ14" s="129"/>
      <c r="FK14" s="2"/>
    </row>
    <row r="15" spans="1:172" s="28" customFormat="1" x14ac:dyDescent="0.2">
      <c r="A15" s="32" t="s">
        <v>106</v>
      </c>
      <c r="B15" s="40" t="s">
        <v>21</v>
      </c>
      <c r="C15" s="41">
        <v>0.41</v>
      </c>
      <c r="D15" s="27">
        <f t="shared" ref="D15:AI15" si="47">$C$15*12*D38</f>
        <v>2374.3920000000003</v>
      </c>
      <c r="E15" s="27">
        <f t="shared" si="47"/>
        <v>2908.212</v>
      </c>
      <c r="F15" s="27">
        <f t="shared" si="47"/>
        <v>2269.596</v>
      </c>
      <c r="G15" s="27">
        <f t="shared" si="47"/>
        <v>2100.84</v>
      </c>
      <c r="H15" s="27">
        <f t="shared" si="47"/>
        <v>6708.42</v>
      </c>
      <c r="I15" s="27">
        <f t="shared" si="47"/>
        <v>2867.3759999999997</v>
      </c>
      <c r="J15" s="27">
        <f t="shared" si="47"/>
        <v>2856.06</v>
      </c>
      <c r="K15" s="27">
        <f t="shared" si="47"/>
        <v>2716.8240000000001</v>
      </c>
      <c r="L15" s="27">
        <f t="shared" si="47"/>
        <v>2776.848</v>
      </c>
      <c r="M15" s="27">
        <f t="shared" si="47"/>
        <v>2968.2359999999999</v>
      </c>
      <c r="N15" s="27">
        <f t="shared" si="47"/>
        <v>1702.32</v>
      </c>
      <c r="O15" s="27">
        <f t="shared" si="47"/>
        <v>3980.2799999999997</v>
      </c>
      <c r="P15" s="27">
        <f t="shared" si="47"/>
        <v>2853.1079999999997</v>
      </c>
      <c r="Q15" s="27">
        <f t="shared" si="47"/>
        <v>2287.308</v>
      </c>
      <c r="R15" s="27">
        <f t="shared" si="47"/>
        <v>2573.16</v>
      </c>
      <c r="S15" s="27">
        <f t="shared" si="47"/>
        <v>3583.2359999999999</v>
      </c>
      <c r="T15" s="27">
        <f t="shared" si="47"/>
        <v>2943.6359999999995</v>
      </c>
      <c r="U15" s="27">
        <f t="shared" si="47"/>
        <v>2250.4079999999999</v>
      </c>
      <c r="V15" s="27">
        <f t="shared" si="47"/>
        <v>2338.4760000000001</v>
      </c>
      <c r="W15" s="27">
        <f t="shared" si="47"/>
        <v>2265.66</v>
      </c>
      <c r="X15" s="27">
        <f t="shared" si="47"/>
        <v>3586.1879999999996</v>
      </c>
      <c r="Y15" s="27">
        <f t="shared" si="47"/>
        <v>2276.4839999999999</v>
      </c>
      <c r="Z15" s="27">
        <f t="shared" si="47"/>
        <v>2243.0279999999998</v>
      </c>
      <c r="AA15" s="27">
        <f t="shared" si="47"/>
        <v>2541.1799999999998</v>
      </c>
      <c r="AB15" s="27">
        <f t="shared" si="47"/>
        <v>2543.1479999999997</v>
      </c>
      <c r="AC15" s="27">
        <f t="shared" si="47"/>
        <v>2526.9120000000003</v>
      </c>
      <c r="AD15" s="27">
        <f t="shared" si="47"/>
        <v>2324.6999999999998</v>
      </c>
      <c r="AE15" s="27">
        <f t="shared" si="47"/>
        <v>2346.348</v>
      </c>
      <c r="AF15" s="27">
        <f t="shared" si="47"/>
        <v>2374.3920000000003</v>
      </c>
      <c r="AG15" s="27">
        <f t="shared" si="47"/>
        <v>2331.096</v>
      </c>
      <c r="AH15" s="27">
        <f t="shared" si="47"/>
        <v>2551.02</v>
      </c>
      <c r="AI15" s="27">
        <f t="shared" si="47"/>
        <v>2773.404</v>
      </c>
      <c r="AJ15" s="27">
        <f t="shared" ref="AJ15:BO15" si="48">$C$15*12*AJ38</f>
        <v>2369.9639999999999</v>
      </c>
      <c r="AK15" s="27">
        <f t="shared" si="48"/>
        <v>4313.3640000000005</v>
      </c>
      <c r="AL15" s="27">
        <f t="shared" si="48"/>
        <v>2337</v>
      </c>
      <c r="AM15" s="27">
        <f t="shared" si="48"/>
        <v>2243.0279999999998</v>
      </c>
      <c r="AN15" s="27">
        <f t="shared" si="48"/>
        <v>2110.1879999999996</v>
      </c>
      <c r="AO15" s="27">
        <f t="shared" si="48"/>
        <v>3580.2840000000001</v>
      </c>
      <c r="AP15" s="27">
        <f t="shared" si="48"/>
        <v>2063.94</v>
      </c>
      <c r="AQ15" s="27">
        <f t="shared" si="48"/>
        <v>2929.3679999999999</v>
      </c>
      <c r="AR15" s="27">
        <f t="shared" si="48"/>
        <v>3640.308</v>
      </c>
      <c r="AS15" s="27">
        <f t="shared" si="48"/>
        <v>4794.0479999999998</v>
      </c>
      <c r="AT15" s="27">
        <f t="shared" si="48"/>
        <v>2796.0359999999996</v>
      </c>
      <c r="AU15" s="27">
        <f t="shared" si="48"/>
        <v>3266.3879999999999</v>
      </c>
      <c r="AV15" s="27">
        <f t="shared" si="48"/>
        <v>2614.4879999999998</v>
      </c>
      <c r="AW15" s="27">
        <f t="shared" si="48"/>
        <v>2074.7640000000001</v>
      </c>
      <c r="AX15" s="27">
        <f t="shared" si="48"/>
        <v>2329.1279999999997</v>
      </c>
      <c r="AY15" s="27">
        <f t="shared" si="48"/>
        <v>2675.0040000000004</v>
      </c>
      <c r="AZ15" s="27">
        <f t="shared" si="48"/>
        <v>2543.1479999999997</v>
      </c>
      <c r="BA15" s="27">
        <f t="shared" si="48"/>
        <v>2887.5479999999998</v>
      </c>
      <c r="BB15" s="27">
        <f t="shared" si="48"/>
        <v>2151.5160000000001</v>
      </c>
      <c r="BC15" s="27">
        <f t="shared" si="48"/>
        <v>2121.5039999999999</v>
      </c>
      <c r="BD15" s="27">
        <f t="shared" si="48"/>
        <v>2585.9520000000002</v>
      </c>
      <c r="BE15" s="27">
        <f t="shared" si="48"/>
        <v>2495.424</v>
      </c>
      <c r="BF15" s="27">
        <f t="shared" si="48"/>
        <v>2449.6679999999997</v>
      </c>
      <c r="BG15" s="27">
        <f t="shared" si="48"/>
        <v>2191.86</v>
      </c>
      <c r="BH15" s="27">
        <f t="shared" si="48"/>
        <v>2119.0439999999999</v>
      </c>
      <c r="BI15" s="27">
        <f t="shared" si="48"/>
        <v>2642.04</v>
      </c>
      <c r="BJ15" s="27">
        <f t="shared" si="48"/>
        <v>2638.5959999999995</v>
      </c>
      <c r="BK15" s="27">
        <f t="shared" si="48"/>
        <v>2333.0639999999999</v>
      </c>
      <c r="BL15" s="27">
        <f t="shared" si="48"/>
        <v>3622.1040000000003</v>
      </c>
      <c r="BM15" s="27">
        <f t="shared" si="48"/>
        <v>3628.0079999999998</v>
      </c>
      <c r="BN15" s="27">
        <f t="shared" si="48"/>
        <v>2277.96</v>
      </c>
      <c r="BO15" s="27">
        <f t="shared" si="48"/>
        <v>2747.328</v>
      </c>
      <c r="BP15" s="41">
        <f>0.41+1.62</f>
        <v>2.0300000000000002</v>
      </c>
      <c r="BQ15" s="27">
        <f>BP15*12*BQ38</f>
        <v>11875.500000000002</v>
      </c>
      <c r="BR15" s="123" t="s">
        <v>123</v>
      </c>
      <c r="BS15" s="41" t="s">
        <v>21</v>
      </c>
      <c r="BT15" s="41">
        <v>0.49</v>
      </c>
      <c r="BU15" s="27">
        <f>$BT$15*12*BU38</f>
        <v>2680.692</v>
      </c>
      <c r="BV15" s="27">
        <f>$BT$15*12*BV38</f>
        <v>2703.6239999999998</v>
      </c>
      <c r="BW15" s="27">
        <f>$BT$15*12*BW38</f>
        <v>3041.1360000000004</v>
      </c>
      <c r="BX15" s="27">
        <f>$BT$15*12*BX38</f>
        <v>3034.6680000000001</v>
      </c>
      <c r="BY15" s="123" t="s">
        <v>134</v>
      </c>
      <c r="BZ15" s="41" t="s">
        <v>21</v>
      </c>
      <c r="CA15" s="41">
        <v>0.39</v>
      </c>
      <c r="CB15" s="27">
        <f>$CA$15*12*CB38</f>
        <v>2126.5919999999996</v>
      </c>
      <c r="CC15" s="27">
        <f>$CA$15*12*CC38</f>
        <v>2163.096</v>
      </c>
      <c r="CD15" s="27">
        <f>$CA$15*12*CD38</f>
        <v>2213.1719999999996</v>
      </c>
      <c r="CE15" s="27">
        <f>$CA$15*12*CE38</f>
        <v>2141.5679999999998</v>
      </c>
      <c r="CF15" s="27">
        <f>$CA$15*12*CF38</f>
        <v>2165.904</v>
      </c>
      <c r="CG15" s="123" t="s">
        <v>106</v>
      </c>
      <c r="CH15" s="41" t="s">
        <v>21</v>
      </c>
      <c r="CI15" s="41">
        <v>0.41</v>
      </c>
      <c r="CJ15" s="27">
        <f t="shared" ref="CJ15:DJ15" si="49">$CI$15*12*CJ38</f>
        <v>2204.16</v>
      </c>
      <c r="CK15" s="27">
        <f t="shared" si="49"/>
        <v>2779.8</v>
      </c>
      <c r="CL15" s="27">
        <f t="shared" si="49"/>
        <v>2785.212</v>
      </c>
      <c r="CM15" s="27">
        <f t="shared" si="49"/>
        <v>2361.1079999999997</v>
      </c>
      <c r="CN15" s="27">
        <f t="shared" si="49"/>
        <v>2741.9159999999997</v>
      </c>
      <c r="CO15" s="27">
        <f t="shared" si="49"/>
        <v>3539.4479999999999</v>
      </c>
      <c r="CP15" s="27">
        <f t="shared" si="49"/>
        <v>2358.6479999999997</v>
      </c>
      <c r="CQ15" s="27">
        <f t="shared" si="49"/>
        <v>2275.0079999999998</v>
      </c>
      <c r="CR15" s="27">
        <f t="shared" si="49"/>
        <v>2068.3679999999999</v>
      </c>
      <c r="CS15" s="27">
        <f t="shared" si="49"/>
        <v>4359.6120000000001</v>
      </c>
      <c r="CT15" s="27">
        <f t="shared" si="49"/>
        <v>3559.62</v>
      </c>
      <c r="CU15" s="27">
        <f t="shared" si="49"/>
        <v>2769.96</v>
      </c>
      <c r="CV15" s="27">
        <f t="shared" si="49"/>
        <v>2833.4279999999999</v>
      </c>
      <c r="CW15" s="27">
        <f t="shared" si="49"/>
        <v>1704.2879999999998</v>
      </c>
      <c r="CX15" s="27">
        <f t="shared" si="49"/>
        <v>2997.7559999999999</v>
      </c>
      <c r="CY15" s="27">
        <f t="shared" si="49"/>
        <v>2720.268</v>
      </c>
      <c r="CZ15" s="27">
        <f t="shared" si="49"/>
        <v>2479.1879999999996</v>
      </c>
      <c r="DA15" s="27">
        <f t="shared" si="49"/>
        <v>2491.98</v>
      </c>
      <c r="DB15" s="27">
        <f t="shared" si="49"/>
        <v>2590.8720000000003</v>
      </c>
      <c r="DC15" s="27">
        <f t="shared" si="49"/>
        <v>2277.96</v>
      </c>
      <c r="DD15" s="27">
        <f t="shared" si="49"/>
        <v>2550.5279999999998</v>
      </c>
      <c r="DE15" s="27">
        <f t="shared" si="49"/>
        <v>2577.0959999999995</v>
      </c>
      <c r="DF15" s="27">
        <f t="shared" si="49"/>
        <v>2773.404</v>
      </c>
      <c r="DG15" s="27">
        <f t="shared" si="49"/>
        <v>2987.9159999999997</v>
      </c>
      <c r="DH15" s="27">
        <f t="shared" si="49"/>
        <v>3069.5879999999997</v>
      </c>
      <c r="DI15" s="27">
        <f>$CI$15*12*DI38</f>
        <v>2484.1079999999997</v>
      </c>
      <c r="DJ15" s="27">
        <f t="shared" si="49"/>
        <v>2700.5879999999997</v>
      </c>
      <c r="DK15" s="41">
        <f>0.41+0.59</f>
        <v>1</v>
      </c>
      <c r="DL15" s="27">
        <f>DK15*12*DL38</f>
        <v>5878.7999999999993</v>
      </c>
      <c r="DM15" s="41">
        <f>0.41+0.53</f>
        <v>0.94</v>
      </c>
      <c r="DN15" s="27">
        <f>DM15*12*DN38</f>
        <v>6254.7599999999993</v>
      </c>
      <c r="DO15" s="41">
        <f>0.41+1.09</f>
        <v>1.5</v>
      </c>
      <c r="DP15" s="27">
        <f>DO15*12*DP38</f>
        <v>9093.6</v>
      </c>
      <c r="DQ15" s="41">
        <f>0.41+1.3</f>
        <v>1.71</v>
      </c>
      <c r="DR15" s="27">
        <f>DQ15*12*DR38</f>
        <v>10448.784</v>
      </c>
      <c r="DS15" s="41">
        <f>0.41+1.24</f>
        <v>1.65</v>
      </c>
      <c r="DT15" s="27">
        <f>DS15*12*DT38</f>
        <v>19683.179999999997</v>
      </c>
      <c r="DU15" s="41">
        <f>0.41+0.94</f>
        <v>1.3499999999999999</v>
      </c>
      <c r="DV15" s="27">
        <f>DU15*12*DV38</f>
        <v>9216.1799999999985</v>
      </c>
      <c r="DW15" s="41">
        <f>0.41+1.44</f>
        <v>1.8499999999999999</v>
      </c>
      <c r="DX15" s="27">
        <f>DW15*12*DX38</f>
        <v>10016.64</v>
      </c>
      <c r="DY15" s="41">
        <f>0.41+0.32</f>
        <v>0.73</v>
      </c>
      <c r="DZ15" s="27">
        <f>DY15*12*DZ38</f>
        <v>3979.6680000000001</v>
      </c>
      <c r="EA15" s="41">
        <f>0.41+0.41</f>
        <v>0.82</v>
      </c>
      <c r="EB15" s="27">
        <f>EA15*12*EB38</f>
        <v>4592.3279999999995</v>
      </c>
      <c r="EC15" s="41">
        <f>0.41+1.51</f>
        <v>1.92</v>
      </c>
      <c r="ED15" s="27">
        <f>EC15*ED38*12</f>
        <v>12298.752</v>
      </c>
      <c r="EE15" s="41">
        <f>0.41+1.17</f>
        <v>1.5799999999999998</v>
      </c>
      <c r="EF15" s="27">
        <f>EE15*12*EF38</f>
        <v>8888.4479999999985</v>
      </c>
      <c r="EG15" s="41">
        <f>0.41+0.86</f>
        <v>1.27</v>
      </c>
      <c r="EH15" s="27">
        <f>EG15*12*EH38</f>
        <v>7863.84</v>
      </c>
      <c r="EI15" s="41">
        <f>0.41+0.66</f>
        <v>1.07</v>
      </c>
      <c r="EJ15" s="27">
        <f>EI15*12*EJ38</f>
        <v>7255.884</v>
      </c>
      <c r="EK15" s="123" t="s">
        <v>123</v>
      </c>
      <c r="EL15" s="41" t="s">
        <v>21</v>
      </c>
      <c r="EM15" s="41">
        <v>0.49</v>
      </c>
      <c r="EN15" s="27">
        <f>$EM$15*12*EN38</f>
        <v>2880.6119999999996</v>
      </c>
      <c r="EO15" s="27">
        <f>$EM$15*12*EO38</f>
        <v>2751.252</v>
      </c>
      <c r="EP15" s="27">
        <f>$EM$15*12*EP38</f>
        <v>2880.6119999999996</v>
      </c>
      <c r="EQ15" s="41">
        <f>0.49+1</f>
        <v>1.49</v>
      </c>
      <c r="ER15" s="27">
        <f>EQ15*12*ER38</f>
        <v>8330.2919999999995</v>
      </c>
      <c r="ES15" s="123" t="s">
        <v>134</v>
      </c>
      <c r="ET15" s="41" t="s">
        <v>21</v>
      </c>
      <c r="EU15" s="41">
        <v>0.39</v>
      </c>
      <c r="EV15" s="27">
        <f>$EU$15*12*EV38</f>
        <v>2133.6119999999996</v>
      </c>
      <c r="EW15" s="54">
        <f>$EU$15*12*EW38</f>
        <v>1945.944</v>
      </c>
      <c r="EX15" s="54">
        <f>$EU$15*12*EX38</f>
        <v>2179.944</v>
      </c>
      <c r="EY15" s="61" t="s">
        <v>215</v>
      </c>
      <c r="EZ15" s="124" t="s">
        <v>162</v>
      </c>
      <c r="FA15" s="130">
        <v>0.15</v>
      </c>
      <c r="FB15" s="113">
        <f>0.15*12*FB38</f>
        <v>7103.3399999999992</v>
      </c>
      <c r="FC15" s="113">
        <f>0.15*12*FC38</f>
        <v>4156.5599999999995</v>
      </c>
      <c r="FD15" s="113">
        <f>0.15*12*FD38</f>
        <v>3974.22</v>
      </c>
      <c r="FE15" s="88">
        <v>0.16</v>
      </c>
      <c r="FF15" s="89">
        <f>0.16*12*FF38</f>
        <v>7229.5680000000002</v>
      </c>
      <c r="FG15" s="88">
        <v>0.26</v>
      </c>
      <c r="FH15" s="113">
        <f>0.26*12*FH38</f>
        <v>11270.376</v>
      </c>
      <c r="FI15" s="131"/>
      <c r="FJ15" s="131"/>
      <c r="FK15" s="2"/>
    </row>
    <row r="16" spans="1:172" s="28" customFormat="1" x14ac:dyDescent="0.2">
      <c r="A16" s="32" t="s">
        <v>107</v>
      </c>
      <c r="B16" s="40" t="s">
        <v>10</v>
      </c>
      <c r="C16" s="41">
        <v>0.49</v>
      </c>
      <c r="D16" s="27">
        <f t="shared" ref="D16:AI16" si="50">$C$16*12*D38</f>
        <v>2837.6880000000001</v>
      </c>
      <c r="E16" s="27">
        <f t="shared" si="50"/>
        <v>3475.6680000000001</v>
      </c>
      <c r="F16" s="27">
        <f t="shared" si="50"/>
        <v>2712.444</v>
      </c>
      <c r="G16" s="27">
        <f t="shared" si="50"/>
        <v>2510.7599999999998</v>
      </c>
      <c r="H16" s="27">
        <f t="shared" si="50"/>
        <v>8017.38</v>
      </c>
      <c r="I16" s="27">
        <f t="shared" si="50"/>
        <v>3426.8639999999996</v>
      </c>
      <c r="J16" s="27">
        <f t="shared" si="50"/>
        <v>3413.34</v>
      </c>
      <c r="K16" s="27">
        <f t="shared" si="50"/>
        <v>3246.9360000000001</v>
      </c>
      <c r="L16" s="27">
        <f t="shared" si="50"/>
        <v>3318.672</v>
      </c>
      <c r="M16" s="27">
        <f t="shared" si="50"/>
        <v>3547.4039999999995</v>
      </c>
      <c r="N16" s="27">
        <f t="shared" si="50"/>
        <v>2034.48</v>
      </c>
      <c r="O16" s="27">
        <f t="shared" si="50"/>
        <v>4756.92</v>
      </c>
      <c r="P16" s="27">
        <f t="shared" si="50"/>
        <v>3409.8119999999999</v>
      </c>
      <c r="Q16" s="27">
        <f t="shared" si="50"/>
        <v>2733.6119999999996</v>
      </c>
      <c r="R16" s="27">
        <f t="shared" si="50"/>
        <v>3075.24</v>
      </c>
      <c r="S16" s="27">
        <f t="shared" si="50"/>
        <v>4282.4039999999995</v>
      </c>
      <c r="T16" s="27">
        <f t="shared" si="50"/>
        <v>3518.0039999999995</v>
      </c>
      <c r="U16" s="27">
        <f t="shared" si="50"/>
        <v>2689.5119999999997</v>
      </c>
      <c r="V16" s="27">
        <f t="shared" si="50"/>
        <v>2794.7640000000001</v>
      </c>
      <c r="W16" s="27">
        <f t="shared" si="50"/>
        <v>2707.74</v>
      </c>
      <c r="X16" s="27">
        <f t="shared" si="50"/>
        <v>4285.9319999999998</v>
      </c>
      <c r="Y16" s="27">
        <f t="shared" si="50"/>
        <v>2720.6759999999999</v>
      </c>
      <c r="Z16" s="27">
        <f t="shared" si="50"/>
        <v>2680.692</v>
      </c>
      <c r="AA16" s="27">
        <f t="shared" si="50"/>
        <v>3037.02</v>
      </c>
      <c r="AB16" s="27">
        <f t="shared" si="50"/>
        <v>3039.3719999999998</v>
      </c>
      <c r="AC16" s="27">
        <f t="shared" si="50"/>
        <v>3019.9680000000003</v>
      </c>
      <c r="AD16" s="27">
        <f t="shared" si="50"/>
        <v>2778.2999999999997</v>
      </c>
      <c r="AE16" s="27">
        <f t="shared" si="50"/>
        <v>2804.172</v>
      </c>
      <c r="AF16" s="27">
        <f t="shared" si="50"/>
        <v>2837.6880000000001</v>
      </c>
      <c r="AG16" s="27">
        <f t="shared" si="50"/>
        <v>2785.944</v>
      </c>
      <c r="AH16" s="27">
        <f t="shared" si="50"/>
        <v>3048.7799999999997</v>
      </c>
      <c r="AI16" s="27">
        <f t="shared" si="50"/>
        <v>3314.556</v>
      </c>
      <c r="AJ16" s="27">
        <f t="shared" ref="AJ16:BO16" si="51">$C$16*12*AJ38</f>
        <v>2832.3959999999997</v>
      </c>
      <c r="AK16" s="27">
        <f t="shared" si="51"/>
        <v>5154.9960000000001</v>
      </c>
      <c r="AL16" s="27">
        <f t="shared" si="51"/>
        <v>2793</v>
      </c>
      <c r="AM16" s="27">
        <f t="shared" si="51"/>
        <v>2680.692</v>
      </c>
      <c r="AN16" s="27">
        <f t="shared" si="51"/>
        <v>2521.9319999999998</v>
      </c>
      <c r="AO16" s="27">
        <f t="shared" si="51"/>
        <v>4278.8760000000002</v>
      </c>
      <c r="AP16" s="27">
        <f t="shared" si="51"/>
        <v>2466.66</v>
      </c>
      <c r="AQ16" s="27">
        <f t="shared" si="51"/>
        <v>3500.9519999999998</v>
      </c>
      <c r="AR16" s="27">
        <f t="shared" si="51"/>
        <v>4350.6120000000001</v>
      </c>
      <c r="AS16" s="27">
        <f t="shared" si="51"/>
        <v>5729.4719999999998</v>
      </c>
      <c r="AT16" s="27">
        <f t="shared" si="51"/>
        <v>3341.6039999999998</v>
      </c>
      <c r="AU16" s="27">
        <f t="shared" si="51"/>
        <v>3903.732</v>
      </c>
      <c r="AV16" s="27">
        <f t="shared" si="51"/>
        <v>3124.6319999999996</v>
      </c>
      <c r="AW16" s="27">
        <f t="shared" si="51"/>
        <v>2479.596</v>
      </c>
      <c r="AX16" s="27">
        <f t="shared" si="51"/>
        <v>2783.5919999999996</v>
      </c>
      <c r="AY16" s="27">
        <f t="shared" si="51"/>
        <v>3196.9560000000001</v>
      </c>
      <c r="AZ16" s="27">
        <f t="shared" si="51"/>
        <v>3039.3719999999998</v>
      </c>
      <c r="BA16" s="27">
        <f t="shared" si="51"/>
        <v>3450.9719999999998</v>
      </c>
      <c r="BB16" s="27">
        <f t="shared" si="51"/>
        <v>2571.3240000000001</v>
      </c>
      <c r="BC16" s="27">
        <f t="shared" si="51"/>
        <v>2535.4559999999997</v>
      </c>
      <c r="BD16" s="27">
        <f t="shared" si="51"/>
        <v>3090.5280000000002</v>
      </c>
      <c r="BE16" s="27">
        <f t="shared" si="51"/>
        <v>2982.3359999999998</v>
      </c>
      <c r="BF16" s="27">
        <f t="shared" si="51"/>
        <v>2927.6519999999996</v>
      </c>
      <c r="BG16" s="27">
        <f t="shared" si="51"/>
        <v>2619.54</v>
      </c>
      <c r="BH16" s="27">
        <f t="shared" si="51"/>
        <v>2532.5160000000001</v>
      </c>
      <c r="BI16" s="27">
        <f t="shared" si="51"/>
        <v>3157.56</v>
      </c>
      <c r="BJ16" s="27">
        <f t="shared" si="51"/>
        <v>3153.4439999999995</v>
      </c>
      <c r="BK16" s="27">
        <f t="shared" si="51"/>
        <v>2788.2959999999998</v>
      </c>
      <c r="BL16" s="27">
        <f t="shared" si="51"/>
        <v>4328.8559999999998</v>
      </c>
      <c r="BM16" s="27">
        <f t="shared" si="51"/>
        <v>4335.9119999999994</v>
      </c>
      <c r="BN16" s="27">
        <f t="shared" si="51"/>
        <v>2722.44</v>
      </c>
      <c r="BO16" s="27">
        <f t="shared" si="51"/>
        <v>3283.3919999999998</v>
      </c>
      <c r="BP16" s="41">
        <v>0.49</v>
      </c>
      <c r="BQ16" s="27">
        <f>$C$16*12*BQ38</f>
        <v>2866.5</v>
      </c>
      <c r="BR16" s="123" t="s">
        <v>124</v>
      </c>
      <c r="BS16" s="41" t="s">
        <v>10</v>
      </c>
      <c r="BT16" s="41">
        <v>0.51</v>
      </c>
      <c r="BU16" s="27">
        <f>$BT$16*12*BU38</f>
        <v>2790.1079999999997</v>
      </c>
      <c r="BV16" s="27">
        <f>$BT$16*12*BV38</f>
        <v>2813.9760000000001</v>
      </c>
      <c r="BW16" s="27">
        <f>$BT$16*12*BW38</f>
        <v>3165.2640000000001</v>
      </c>
      <c r="BX16" s="27">
        <f>$BT$16*12*BX38</f>
        <v>3158.5320000000002</v>
      </c>
      <c r="BY16" s="123" t="s">
        <v>135</v>
      </c>
      <c r="BZ16" s="41" t="s">
        <v>10</v>
      </c>
      <c r="CA16" s="41">
        <v>0.7</v>
      </c>
      <c r="CB16" s="27">
        <f>$CA$16*12*CB38</f>
        <v>3816.9599999999991</v>
      </c>
      <c r="CC16" s="27">
        <f>$CA$16*12*CC38</f>
        <v>3882.4799999999991</v>
      </c>
      <c r="CD16" s="27">
        <f>$CA$16*12*CD38</f>
        <v>3972.3599999999992</v>
      </c>
      <c r="CE16" s="27">
        <f>$CA$16*12*CE38</f>
        <v>3843.8399999999997</v>
      </c>
      <c r="CF16" s="27">
        <f>$CA$16*12*CF38</f>
        <v>3887.5199999999995</v>
      </c>
      <c r="CG16" s="123" t="s">
        <v>107</v>
      </c>
      <c r="CH16" s="41" t="s">
        <v>10</v>
      </c>
      <c r="CI16" s="41">
        <v>0.49</v>
      </c>
      <c r="CJ16" s="27">
        <f t="shared" ref="CJ16:DJ16" si="52">$CI$16*12*CJ38</f>
        <v>2634.24</v>
      </c>
      <c r="CK16" s="27">
        <f t="shared" si="52"/>
        <v>3322.2</v>
      </c>
      <c r="CL16" s="27">
        <f t="shared" si="52"/>
        <v>3328.6680000000001</v>
      </c>
      <c r="CM16" s="27">
        <f t="shared" si="52"/>
        <v>2821.8119999999999</v>
      </c>
      <c r="CN16" s="27">
        <f t="shared" si="52"/>
        <v>3276.9239999999995</v>
      </c>
      <c r="CO16" s="27">
        <f t="shared" si="52"/>
        <v>4230.0720000000001</v>
      </c>
      <c r="CP16" s="27">
        <f t="shared" si="52"/>
        <v>2818.8719999999998</v>
      </c>
      <c r="CQ16" s="27">
        <f t="shared" si="52"/>
        <v>2718.9119999999998</v>
      </c>
      <c r="CR16" s="27">
        <f t="shared" si="52"/>
        <v>2471.9519999999998</v>
      </c>
      <c r="CS16" s="27">
        <f t="shared" si="52"/>
        <v>5210.268</v>
      </c>
      <c r="CT16" s="27">
        <f t="shared" si="52"/>
        <v>4254.18</v>
      </c>
      <c r="CU16" s="27">
        <f t="shared" si="52"/>
        <v>3310.44</v>
      </c>
      <c r="CV16" s="27">
        <f t="shared" si="52"/>
        <v>3386.2919999999999</v>
      </c>
      <c r="CW16" s="27">
        <f t="shared" si="52"/>
        <v>2036.8319999999999</v>
      </c>
      <c r="CX16" s="27">
        <f t="shared" si="52"/>
        <v>3582.6839999999997</v>
      </c>
      <c r="CY16" s="27">
        <f t="shared" si="52"/>
        <v>3251.0519999999997</v>
      </c>
      <c r="CZ16" s="27">
        <f t="shared" si="52"/>
        <v>2962.9319999999998</v>
      </c>
      <c r="DA16" s="27">
        <f t="shared" si="52"/>
        <v>2978.22</v>
      </c>
      <c r="DB16" s="27">
        <f t="shared" si="52"/>
        <v>3096.4079999999999</v>
      </c>
      <c r="DC16" s="27">
        <f t="shared" si="52"/>
        <v>2722.44</v>
      </c>
      <c r="DD16" s="27">
        <f t="shared" si="52"/>
        <v>3048.192</v>
      </c>
      <c r="DE16" s="27">
        <f t="shared" si="52"/>
        <v>3079.9439999999995</v>
      </c>
      <c r="DF16" s="27">
        <f t="shared" si="52"/>
        <v>3314.556</v>
      </c>
      <c r="DG16" s="27">
        <f t="shared" si="52"/>
        <v>3570.9239999999995</v>
      </c>
      <c r="DH16" s="27">
        <f t="shared" si="52"/>
        <v>3668.5319999999997</v>
      </c>
      <c r="DI16" s="27">
        <f>$CI$16*12*DI38</f>
        <v>2968.8119999999999</v>
      </c>
      <c r="DJ16" s="27">
        <f t="shared" si="52"/>
        <v>3227.5319999999997</v>
      </c>
      <c r="DK16" s="41">
        <f>0.49</f>
        <v>0.49</v>
      </c>
      <c r="DL16" s="27">
        <f>$CI$16*12*DL38</f>
        <v>2880.6119999999996</v>
      </c>
      <c r="DM16" s="41">
        <f>0.49</f>
        <v>0.49</v>
      </c>
      <c r="DN16" s="27">
        <f>$CI$16*12*DN38</f>
        <v>3260.46</v>
      </c>
      <c r="DO16" s="41">
        <f>0.49</f>
        <v>0.49</v>
      </c>
      <c r="DP16" s="27">
        <f>$CI$16*12*DP38</f>
        <v>2970.576</v>
      </c>
      <c r="DQ16" s="41">
        <f>0.49</f>
        <v>0.49</v>
      </c>
      <c r="DR16" s="27">
        <f>$CI$16*12*DR38</f>
        <v>2994.096</v>
      </c>
      <c r="DS16" s="41">
        <f>0.49</f>
        <v>0.49</v>
      </c>
      <c r="DT16" s="27">
        <f>$CI$16*12*DT38</f>
        <v>5845.308</v>
      </c>
      <c r="DU16" s="41">
        <f>0.49</f>
        <v>0.49</v>
      </c>
      <c r="DV16" s="27">
        <f>$CI$16*12*DV38</f>
        <v>3345.1319999999996</v>
      </c>
      <c r="DW16" s="41">
        <f>0.49</f>
        <v>0.49</v>
      </c>
      <c r="DX16" s="27">
        <f>$CI$16*12*DX38</f>
        <v>2653.056</v>
      </c>
      <c r="DY16" s="41">
        <f>0.49</f>
        <v>0.49</v>
      </c>
      <c r="DZ16" s="27">
        <f>$CI$16*12*DZ38</f>
        <v>2671.2840000000001</v>
      </c>
      <c r="EA16" s="41">
        <f>0.49</f>
        <v>0.49</v>
      </c>
      <c r="EB16" s="27">
        <f>$CI$16*12*EB38</f>
        <v>2744.1959999999999</v>
      </c>
      <c r="EC16" s="41">
        <f>0.49</f>
        <v>0.49</v>
      </c>
      <c r="ED16" s="27">
        <f>$CI$16*12*ED38</f>
        <v>3138.7439999999997</v>
      </c>
      <c r="EE16" s="41">
        <f>0.49</f>
        <v>0.49</v>
      </c>
      <c r="EF16" s="27">
        <f>$CI$16*12*EF38</f>
        <v>2756.5439999999999</v>
      </c>
      <c r="EG16" s="41">
        <f>0.49</f>
        <v>0.49</v>
      </c>
      <c r="EH16" s="27">
        <f>$CI$16*12*EH38</f>
        <v>3034.08</v>
      </c>
      <c r="EI16" s="41">
        <f>0.49</f>
        <v>0.49</v>
      </c>
      <c r="EJ16" s="27">
        <f>EI16*12*EJ38</f>
        <v>3322.788</v>
      </c>
      <c r="EK16" s="123" t="s">
        <v>124</v>
      </c>
      <c r="EL16" s="41" t="s">
        <v>10</v>
      </c>
      <c r="EM16" s="41">
        <v>0.51</v>
      </c>
      <c r="EN16" s="27">
        <f>$EM$16*12*EN38</f>
        <v>2998.1880000000001</v>
      </c>
      <c r="EO16" s="27">
        <f>$EM$16*12*EO38</f>
        <v>2863.5479999999998</v>
      </c>
      <c r="EP16" s="27">
        <f>$EM$16*12*EP38</f>
        <v>2998.1880000000001</v>
      </c>
      <c r="EQ16" s="41">
        <v>0.51</v>
      </c>
      <c r="ER16" s="27">
        <f>$EM$16*12*ER38</f>
        <v>2851.308</v>
      </c>
      <c r="ES16" s="123" t="s">
        <v>135</v>
      </c>
      <c r="ET16" s="41" t="s">
        <v>10</v>
      </c>
      <c r="EU16" s="41">
        <v>0.7</v>
      </c>
      <c r="EV16" s="27">
        <f>$EU$16*12*EV38</f>
        <v>3829.559999999999</v>
      </c>
      <c r="EW16" s="54">
        <f>$EU$16*12*EW38</f>
        <v>3492.7199999999993</v>
      </c>
      <c r="EX16" s="54">
        <f>$EU$16*12*EX38</f>
        <v>3912.7199999999993</v>
      </c>
      <c r="EY16" s="61" t="s">
        <v>216</v>
      </c>
      <c r="EZ16" s="124" t="s">
        <v>162</v>
      </c>
      <c r="FA16" s="90">
        <v>0.69</v>
      </c>
      <c r="FB16" s="83">
        <f>0.69*12*FB38</f>
        <v>32675.363999999998</v>
      </c>
      <c r="FC16" s="83">
        <f>0.69*12*FC38</f>
        <v>19120.175999999996</v>
      </c>
      <c r="FD16" s="83">
        <f>0.69*12*FD38</f>
        <v>18281.412</v>
      </c>
      <c r="FE16" s="88">
        <v>0.4</v>
      </c>
      <c r="FF16" s="89">
        <f>0.4*12*FF38</f>
        <v>18073.920000000002</v>
      </c>
      <c r="FG16" s="88">
        <v>0.4</v>
      </c>
      <c r="FH16" s="113">
        <f>0.4*12*FH38</f>
        <v>17339.040000000005</v>
      </c>
      <c r="FI16" s="125"/>
      <c r="FJ16" s="125"/>
      <c r="FK16" s="2"/>
    </row>
    <row r="17" spans="1:169" s="28" customFormat="1" x14ac:dyDescent="0.2">
      <c r="A17" s="32" t="s">
        <v>108</v>
      </c>
      <c r="B17" s="40" t="s">
        <v>22</v>
      </c>
      <c r="C17" s="41">
        <v>0.37</v>
      </c>
      <c r="D17" s="27">
        <f t="shared" ref="D17:AI17" si="53">$C$17*12*D38</f>
        <v>2142.7439999999997</v>
      </c>
      <c r="E17" s="27">
        <f t="shared" si="53"/>
        <v>2624.4839999999999</v>
      </c>
      <c r="F17" s="27">
        <f t="shared" si="53"/>
        <v>2048.172</v>
      </c>
      <c r="G17" s="27">
        <f t="shared" si="53"/>
        <v>1895.8799999999999</v>
      </c>
      <c r="H17" s="27">
        <f t="shared" si="53"/>
        <v>6053.94</v>
      </c>
      <c r="I17" s="27">
        <f t="shared" si="53"/>
        <v>2587.6319999999996</v>
      </c>
      <c r="J17" s="27">
        <f t="shared" si="53"/>
        <v>2577.4199999999996</v>
      </c>
      <c r="K17" s="27">
        <f t="shared" si="53"/>
        <v>2451.768</v>
      </c>
      <c r="L17" s="27">
        <f t="shared" si="53"/>
        <v>2505.9359999999997</v>
      </c>
      <c r="M17" s="27">
        <f t="shared" si="53"/>
        <v>2678.6519999999996</v>
      </c>
      <c r="N17" s="27">
        <f t="shared" si="53"/>
        <v>1536.2399999999998</v>
      </c>
      <c r="O17" s="27">
        <f t="shared" si="53"/>
        <v>3591.9599999999996</v>
      </c>
      <c r="P17" s="27">
        <f t="shared" si="53"/>
        <v>2574.7559999999994</v>
      </c>
      <c r="Q17" s="27">
        <f t="shared" si="53"/>
        <v>2064.1559999999995</v>
      </c>
      <c r="R17" s="27">
        <f t="shared" si="53"/>
        <v>2322.12</v>
      </c>
      <c r="S17" s="27">
        <f t="shared" si="53"/>
        <v>3233.6519999999996</v>
      </c>
      <c r="T17" s="27">
        <f t="shared" si="53"/>
        <v>2656.4519999999993</v>
      </c>
      <c r="U17" s="27">
        <f t="shared" si="53"/>
        <v>2030.8559999999998</v>
      </c>
      <c r="V17" s="27">
        <f t="shared" si="53"/>
        <v>2110.3319999999999</v>
      </c>
      <c r="W17" s="27">
        <f t="shared" si="53"/>
        <v>2044.6199999999997</v>
      </c>
      <c r="X17" s="27">
        <f t="shared" si="53"/>
        <v>3236.3159999999993</v>
      </c>
      <c r="Y17" s="27">
        <f t="shared" si="53"/>
        <v>2054.3879999999999</v>
      </c>
      <c r="Z17" s="27">
        <f t="shared" si="53"/>
        <v>2024.1959999999997</v>
      </c>
      <c r="AA17" s="27">
        <f t="shared" si="53"/>
        <v>2293.2599999999998</v>
      </c>
      <c r="AB17" s="27">
        <f t="shared" si="53"/>
        <v>2295.0359999999996</v>
      </c>
      <c r="AC17" s="27">
        <f t="shared" si="53"/>
        <v>2280.384</v>
      </c>
      <c r="AD17" s="27">
        <f t="shared" si="53"/>
        <v>2097.8999999999996</v>
      </c>
      <c r="AE17" s="27">
        <f t="shared" si="53"/>
        <v>2117.4359999999997</v>
      </c>
      <c r="AF17" s="27">
        <f t="shared" si="53"/>
        <v>2142.7439999999997</v>
      </c>
      <c r="AG17" s="27">
        <f t="shared" si="53"/>
        <v>2103.672</v>
      </c>
      <c r="AH17" s="27">
        <f t="shared" si="53"/>
        <v>2302.14</v>
      </c>
      <c r="AI17" s="27">
        <f t="shared" si="53"/>
        <v>2502.828</v>
      </c>
      <c r="AJ17" s="27">
        <f t="shared" ref="AJ17:BO17" si="54">$C$17*12*AJ38</f>
        <v>2138.7479999999996</v>
      </c>
      <c r="AK17" s="27">
        <f t="shared" si="54"/>
        <v>3892.5479999999998</v>
      </c>
      <c r="AL17" s="27">
        <f t="shared" si="54"/>
        <v>2108.9999999999995</v>
      </c>
      <c r="AM17" s="27">
        <f t="shared" si="54"/>
        <v>2024.1959999999997</v>
      </c>
      <c r="AN17" s="27">
        <f t="shared" si="54"/>
        <v>1904.3159999999996</v>
      </c>
      <c r="AO17" s="27">
        <f t="shared" si="54"/>
        <v>3230.9879999999998</v>
      </c>
      <c r="AP17" s="27">
        <f t="shared" si="54"/>
        <v>1862.5799999999997</v>
      </c>
      <c r="AQ17" s="27">
        <f t="shared" si="54"/>
        <v>2643.5759999999996</v>
      </c>
      <c r="AR17" s="27">
        <f t="shared" si="54"/>
        <v>3285.1559999999995</v>
      </c>
      <c r="AS17" s="27">
        <f t="shared" si="54"/>
        <v>4326.3359999999993</v>
      </c>
      <c r="AT17" s="27">
        <f t="shared" si="54"/>
        <v>2523.2519999999995</v>
      </c>
      <c r="AU17" s="27">
        <f t="shared" si="54"/>
        <v>2947.7159999999994</v>
      </c>
      <c r="AV17" s="27">
        <f t="shared" si="54"/>
        <v>2359.4159999999997</v>
      </c>
      <c r="AW17" s="27">
        <f t="shared" si="54"/>
        <v>1872.3479999999997</v>
      </c>
      <c r="AX17" s="27">
        <f t="shared" si="54"/>
        <v>2101.8959999999997</v>
      </c>
      <c r="AY17" s="27">
        <f t="shared" si="54"/>
        <v>2414.0279999999998</v>
      </c>
      <c r="AZ17" s="27">
        <f t="shared" si="54"/>
        <v>2295.0359999999996</v>
      </c>
      <c r="BA17" s="27">
        <f t="shared" si="54"/>
        <v>2605.8359999999998</v>
      </c>
      <c r="BB17" s="27">
        <f t="shared" si="54"/>
        <v>1941.6119999999999</v>
      </c>
      <c r="BC17" s="27">
        <f t="shared" si="54"/>
        <v>1914.5279999999998</v>
      </c>
      <c r="BD17" s="27">
        <f t="shared" si="54"/>
        <v>2333.6639999999998</v>
      </c>
      <c r="BE17" s="27">
        <f t="shared" si="54"/>
        <v>2251.9679999999998</v>
      </c>
      <c r="BF17" s="27">
        <f t="shared" si="54"/>
        <v>2210.6759999999995</v>
      </c>
      <c r="BG17" s="27">
        <f t="shared" si="54"/>
        <v>1978.0199999999998</v>
      </c>
      <c r="BH17" s="27">
        <f t="shared" si="54"/>
        <v>1912.3079999999998</v>
      </c>
      <c r="BI17" s="27">
        <f t="shared" si="54"/>
        <v>2384.2799999999997</v>
      </c>
      <c r="BJ17" s="27">
        <f t="shared" si="54"/>
        <v>2381.1719999999996</v>
      </c>
      <c r="BK17" s="27">
        <f t="shared" si="54"/>
        <v>2105.4479999999999</v>
      </c>
      <c r="BL17" s="27">
        <f t="shared" si="54"/>
        <v>3268.7279999999996</v>
      </c>
      <c r="BM17" s="27">
        <f t="shared" si="54"/>
        <v>3274.0559999999996</v>
      </c>
      <c r="BN17" s="27">
        <f t="shared" si="54"/>
        <v>2055.7199999999998</v>
      </c>
      <c r="BO17" s="27">
        <f t="shared" si="54"/>
        <v>2479.2959999999998</v>
      </c>
      <c r="BP17" s="41">
        <f>0.37+1.6</f>
        <v>1.9700000000000002</v>
      </c>
      <c r="BQ17" s="27">
        <f>BP17*12*BQ38</f>
        <v>11524.5</v>
      </c>
      <c r="BR17" s="123" t="s">
        <v>108</v>
      </c>
      <c r="BS17" s="41" t="s">
        <v>22</v>
      </c>
      <c r="BT17" s="41">
        <v>0.39</v>
      </c>
      <c r="BU17" s="27">
        <f>$BT$17*12*BU38</f>
        <v>2133.6119999999996</v>
      </c>
      <c r="BV17" s="27">
        <f>$BT$17*12*BV38</f>
        <v>2151.864</v>
      </c>
      <c r="BW17" s="27">
        <f>$BT$17*12*BW38</f>
        <v>2420.4960000000001</v>
      </c>
      <c r="BX17" s="27">
        <f>$BT$17*12*BX38</f>
        <v>2415.348</v>
      </c>
      <c r="BY17" s="123" t="s">
        <v>136</v>
      </c>
      <c r="BZ17" s="41" t="s">
        <v>22</v>
      </c>
      <c r="CA17" s="41">
        <v>0.38</v>
      </c>
      <c r="CB17" s="27">
        <f>$CA$17*12*CB38</f>
        <v>2072.0640000000003</v>
      </c>
      <c r="CC17" s="27">
        <f>$CA$17*12*CC38</f>
        <v>2107.6320000000001</v>
      </c>
      <c r="CD17" s="27">
        <f>$CA$17*12*CD38</f>
        <v>2156.424</v>
      </c>
      <c r="CE17" s="27">
        <f>$CA$17*12*CE38</f>
        <v>2086.6560000000004</v>
      </c>
      <c r="CF17" s="27">
        <f>$CA$17*12*CF38</f>
        <v>2110.3680000000004</v>
      </c>
      <c r="CG17" s="123" t="s">
        <v>108</v>
      </c>
      <c r="CH17" s="41" t="s">
        <v>22</v>
      </c>
      <c r="CI17" s="41">
        <v>0.37</v>
      </c>
      <c r="CJ17" s="27">
        <f t="shared" ref="CJ17:DJ17" si="55">$CI$17*12*CJ38</f>
        <v>1989.12</v>
      </c>
      <c r="CK17" s="27">
        <f t="shared" si="55"/>
        <v>2508.6</v>
      </c>
      <c r="CL17" s="27">
        <f t="shared" si="55"/>
        <v>2513.4839999999999</v>
      </c>
      <c r="CM17" s="27">
        <f t="shared" si="55"/>
        <v>2130.7559999999999</v>
      </c>
      <c r="CN17" s="27">
        <f t="shared" si="55"/>
        <v>2474.4119999999994</v>
      </c>
      <c r="CO17" s="27">
        <f t="shared" si="55"/>
        <v>3194.1359999999995</v>
      </c>
      <c r="CP17" s="27">
        <f t="shared" si="55"/>
        <v>2128.5359999999996</v>
      </c>
      <c r="CQ17" s="27">
        <f t="shared" si="55"/>
        <v>2053.0559999999996</v>
      </c>
      <c r="CR17" s="27">
        <f t="shared" si="55"/>
        <v>1866.5759999999998</v>
      </c>
      <c r="CS17" s="27">
        <f t="shared" si="55"/>
        <v>3934.2839999999997</v>
      </c>
      <c r="CT17" s="27">
        <f t="shared" si="55"/>
        <v>3212.3399999999997</v>
      </c>
      <c r="CU17" s="27">
        <f t="shared" si="55"/>
        <v>2499.7199999999998</v>
      </c>
      <c r="CV17" s="27">
        <f t="shared" si="55"/>
        <v>2556.9959999999996</v>
      </c>
      <c r="CW17" s="27">
        <f t="shared" si="55"/>
        <v>1538.0159999999996</v>
      </c>
      <c r="CX17" s="27">
        <f t="shared" si="55"/>
        <v>2705.2919999999995</v>
      </c>
      <c r="CY17" s="27">
        <f t="shared" si="55"/>
        <v>2454.8759999999997</v>
      </c>
      <c r="CZ17" s="27">
        <f t="shared" si="55"/>
        <v>2237.3159999999998</v>
      </c>
      <c r="DA17" s="27">
        <f t="shared" si="55"/>
        <v>2248.8599999999997</v>
      </c>
      <c r="DB17" s="27">
        <f t="shared" si="55"/>
        <v>2338.1039999999998</v>
      </c>
      <c r="DC17" s="27">
        <f t="shared" si="55"/>
        <v>2055.7199999999998</v>
      </c>
      <c r="DD17" s="27">
        <f t="shared" si="55"/>
        <v>2301.6959999999995</v>
      </c>
      <c r="DE17" s="27">
        <f t="shared" si="55"/>
        <v>2325.6719999999996</v>
      </c>
      <c r="DF17" s="27">
        <f t="shared" si="55"/>
        <v>2502.828</v>
      </c>
      <c r="DG17" s="27">
        <f t="shared" si="55"/>
        <v>2696.4119999999994</v>
      </c>
      <c r="DH17" s="27">
        <f t="shared" si="55"/>
        <v>2770.1159999999995</v>
      </c>
      <c r="DI17" s="27">
        <f>$CI$17*12*DI38</f>
        <v>2241.7559999999999</v>
      </c>
      <c r="DJ17" s="27">
        <f t="shared" si="55"/>
        <v>2437.1159999999995</v>
      </c>
      <c r="DK17" s="41">
        <f>0.37+1.26</f>
        <v>1.63</v>
      </c>
      <c r="DL17" s="27">
        <f>DK17*12*DL38</f>
        <v>9582.4439999999995</v>
      </c>
      <c r="DM17" s="41">
        <f>0.37+1.46</f>
        <v>1.83</v>
      </c>
      <c r="DN17" s="27">
        <f>DM17*12*DN38</f>
        <v>12176.82</v>
      </c>
      <c r="DO17" s="41">
        <f>0.37+1.9</f>
        <v>2.27</v>
      </c>
      <c r="DP17" s="27">
        <f>DO17*12*DP38</f>
        <v>13761.648000000001</v>
      </c>
      <c r="DQ17" s="41">
        <f>0.37+2.2</f>
        <v>2.5700000000000003</v>
      </c>
      <c r="DR17" s="27">
        <f>DQ17*12*DR38</f>
        <v>15703.728000000001</v>
      </c>
      <c r="DS17" s="41">
        <f>0.37+1.42</f>
        <v>1.79</v>
      </c>
      <c r="DT17" s="27">
        <f>DS17*12*DT38</f>
        <v>21353.268</v>
      </c>
      <c r="DU17" s="41">
        <f>0.37+1.37</f>
        <v>1.7400000000000002</v>
      </c>
      <c r="DV17" s="27">
        <f>DU17*12*DV38</f>
        <v>11878.632000000001</v>
      </c>
      <c r="DW17" s="41">
        <f>0.37+2.05</f>
        <v>2.42</v>
      </c>
      <c r="DX17" s="27">
        <f>DW17*12*DX38</f>
        <v>13102.848</v>
      </c>
      <c r="DY17" s="41">
        <f>0.37+1.56</f>
        <v>1.9300000000000002</v>
      </c>
      <c r="DZ17" s="27">
        <f>DY17*12*DZ38</f>
        <v>10521.588000000002</v>
      </c>
      <c r="EA17" s="41">
        <f>0.37+1.3</f>
        <v>1.67</v>
      </c>
      <c r="EB17" s="27">
        <f>EA17*12*EB38</f>
        <v>9352.6679999999997</v>
      </c>
      <c r="EC17" s="41">
        <f>0.37+1.78</f>
        <v>2.15</v>
      </c>
      <c r="ED17" s="27">
        <f>EC17*12*ED38</f>
        <v>13772.039999999997</v>
      </c>
      <c r="EE17" s="41">
        <f>0.37+1.51</f>
        <v>1.88</v>
      </c>
      <c r="EF17" s="27">
        <f>EE17*12*EF38</f>
        <v>10576.127999999999</v>
      </c>
      <c r="EG17" s="41">
        <f>0.37+2.15</f>
        <v>2.52</v>
      </c>
      <c r="EH17" s="27">
        <f>EG17*12*EH38</f>
        <v>15603.84</v>
      </c>
      <c r="EI17" s="41">
        <f>0.37+1.76</f>
        <v>2.13</v>
      </c>
      <c r="EJ17" s="27">
        <f>EI17*12*EJ38</f>
        <v>14443.956</v>
      </c>
      <c r="EK17" s="123" t="s">
        <v>108</v>
      </c>
      <c r="EL17" s="41" t="s">
        <v>22</v>
      </c>
      <c r="EM17" s="41">
        <v>0.39</v>
      </c>
      <c r="EN17" s="27">
        <f>$EM$17*12*EN38</f>
        <v>2292.732</v>
      </c>
      <c r="EO17" s="27">
        <f>$EM$17*12*EO38</f>
        <v>2189.7719999999999</v>
      </c>
      <c r="EP17" s="27">
        <f>$EM$17*12*EP38</f>
        <v>2292.732</v>
      </c>
      <c r="EQ17" s="41">
        <f>0.39+1.75</f>
        <v>2.14</v>
      </c>
      <c r="ER17" s="27">
        <f>EQ17*12*ER38</f>
        <v>11964.312</v>
      </c>
      <c r="ES17" s="123" t="s">
        <v>136</v>
      </c>
      <c r="ET17" s="41" t="s">
        <v>22</v>
      </c>
      <c r="EU17" s="41">
        <v>0.38</v>
      </c>
      <c r="EV17" s="27">
        <f>$EU$17*12*EV38</f>
        <v>2078.904</v>
      </c>
      <c r="EW17" s="54">
        <f>$EU$17*12*EW38</f>
        <v>1896.0480000000002</v>
      </c>
      <c r="EX17" s="54">
        <f>$EU$17*12*EX38</f>
        <v>2124.0480000000002</v>
      </c>
      <c r="EY17" s="61" t="s">
        <v>217</v>
      </c>
      <c r="EZ17" s="124" t="s">
        <v>10</v>
      </c>
      <c r="FA17" s="130">
        <v>0.46</v>
      </c>
      <c r="FB17" s="113">
        <f>0.46*12*FB38</f>
        <v>21783.576000000005</v>
      </c>
      <c r="FC17" s="113">
        <f>0.46*12*FC38</f>
        <v>12746.784</v>
      </c>
      <c r="FD17" s="113">
        <f>0.46*12*FD38</f>
        <v>12187.608000000002</v>
      </c>
      <c r="FE17" s="88">
        <v>0.43</v>
      </c>
      <c r="FF17" s="89">
        <f>0.43*12*FF38</f>
        <v>19429.464</v>
      </c>
      <c r="FG17" s="88">
        <v>0.43</v>
      </c>
      <c r="FH17" s="113">
        <f>0.43*12*FH38</f>
        <v>18639.468000000001</v>
      </c>
      <c r="FI17" s="131"/>
      <c r="FJ17" s="131"/>
      <c r="FK17" s="2"/>
    </row>
    <row r="18" spans="1:169" s="28" customFormat="1" ht="57.75" customHeight="1" x14ac:dyDescent="0.2">
      <c r="A18" s="35" t="s">
        <v>109</v>
      </c>
      <c r="B18" s="40" t="s">
        <v>9</v>
      </c>
      <c r="C18" s="41">
        <v>0.6</v>
      </c>
      <c r="D18" s="27">
        <f t="shared" ref="D18:AI18" si="56">$C$18*12*D38</f>
        <v>3474.72</v>
      </c>
      <c r="E18" s="27">
        <f t="shared" si="56"/>
        <v>4255.92</v>
      </c>
      <c r="F18" s="27">
        <f t="shared" si="56"/>
        <v>3321.3599999999997</v>
      </c>
      <c r="G18" s="27">
        <f t="shared" si="56"/>
        <v>3074.3999999999996</v>
      </c>
      <c r="H18" s="27">
        <f t="shared" si="56"/>
        <v>9817.1999999999989</v>
      </c>
      <c r="I18" s="27">
        <f t="shared" si="56"/>
        <v>4196.1599999999989</v>
      </c>
      <c r="J18" s="27">
        <f t="shared" si="56"/>
        <v>4179.5999999999995</v>
      </c>
      <c r="K18" s="27">
        <f t="shared" si="56"/>
        <v>3975.84</v>
      </c>
      <c r="L18" s="27">
        <f t="shared" si="56"/>
        <v>4063.6799999999994</v>
      </c>
      <c r="M18" s="27">
        <f t="shared" si="56"/>
        <v>4343.7599999999993</v>
      </c>
      <c r="N18" s="27">
        <f t="shared" si="56"/>
        <v>2491.1999999999998</v>
      </c>
      <c r="O18" s="27">
        <f t="shared" si="56"/>
        <v>5824.7999999999993</v>
      </c>
      <c r="P18" s="27">
        <f t="shared" si="56"/>
        <v>4175.28</v>
      </c>
      <c r="Q18" s="27">
        <f t="shared" si="56"/>
        <v>3347.2799999999993</v>
      </c>
      <c r="R18" s="27">
        <f t="shared" si="56"/>
        <v>3765.5999999999995</v>
      </c>
      <c r="S18" s="27">
        <f t="shared" si="56"/>
        <v>5243.7599999999993</v>
      </c>
      <c r="T18" s="27">
        <f t="shared" si="56"/>
        <v>4307.7599999999993</v>
      </c>
      <c r="U18" s="27">
        <f t="shared" si="56"/>
        <v>3293.2799999999993</v>
      </c>
      <c r="V18" s="27">
        <f t="shared" si="56"/>
        <v>3422.16</v>
      </c>
      <c r="W18" s="27">
        <f t="shared" si="56"/>
        <v>3315.5999999999995</v>
      </c>
      <c r="X18" s="27">
        <f t="shared" si="56"/>
        <v>5248.079999999999</v>
      </c>
      <c r="Y18" s="27">
        <f t="shared" si="56"/>
        <v>3331.4399999999996</v>
      </c>
      <c r="Z18" s="27">
        <f t="shared" si="56"/>
        <v>3282.4799999999996</v>
      </c>
      <c r="AA18" s="27">
        <f t="shared" si="56"/>
        <v>3718.7999999999997</v>
      </c>
      <c r="AB18" s="27">
        <f t="shared" si="56"/>
        <v>3721.6799999999994</v>
      </c>
      <c r="AC18" s="27">
        <f t="shared" si="56"/>
        <v>3697.9199999999996</v>
      </c>
      <c r="AD18" s="27">
        <f t="shared" si="56"/>
        <v>3401.9999999999995</v>
      </c>
      <c r="AE18" s="27">
        <f t="shared" si="56"/>
        <v>3433.6799999999994</v>
      </c>
      <c r="AF18" s="27">
        <f t="shared" si="56"/>
        <v>3474.72</v>
      </c>
      <c r="AG18" s="27">
        <f t="shared" si="56"/>
        <v>3411.3599999999997</v>
      </c>
      <c r="AH18" s="27">
        <f t="shared" si="56"/>
        <v>3733.2</v>
      </c>
      <c r="AI18" s="27">
        <f t="shared" si="56"/>
        <v>4058.64</v>
      </c>
      <c r="AJ18" s="27">
        <f t="shared" ref="AJ18:BO18" si="57">$C$18*12*AJ38</f>
        <v>3468.24</v>
      </c>
      <c r="AK18" s="27">
        <f t="shared" si="57"/>
        <v>6312.24</v>
      </c>
      <c r="AL18" s="27">
        <f t="shared" si="57"/>
        <v>3419.9999999999995</v>
      </c>
      <c r="AM18" s="27">
        <f t="shared" si="57"/>
        <v>3282.4799999999996</v>
      </c>
      <c r="AN18" s="27">
        <f t="shared" si="57"/>
        <v>3088.0799999999995</v>
      </c>
      <c r="AO18" s="27">
        <f t="shared" si="57"/>
        <v>5239.4399999999996</v>
      </c>
      <c r="AP18" s="27">
        <f t="shared" si="57"/>
        <v>3020.3999999999996</v>
      </c>
      <c r="AQ18" s="27">
        <f t="shared" si="57"/>
        <v>4286.8799999999992</v>
      </c>
      <c r="AR18" s="27">
        <f t="shared" si="57"/>
        <v>5327.28</v>
      </c>
      <c r="AS18" s="27">
        <f t="shared" si="57"/>
        <v>7015.6799999999994</v>
      </c>
      <c r="AT18" s="27">
        <f t="shared" si="57"/>
        <v>4091.7599999999993</v>
      </c>
      <c r="AU18" s="27">
        <f t="shared" si="57"/>
        <v>4780.079999999999</v>
      </c>
      <c r="AV18" s="27">
        <f t="shared" si="57"/>
        <v>3826.0799999999995</v>
      </c>
      <c r="AW18" s="27">
        <f t="shared" si="57"/>
        <v>3036.24</v>
      </c>
      <c r="AX18" s="27">
        <f t="shared" si="57"/>
        <v>3408.4799999999996</v>
      </c>
      <c r="AY18" s="27">
        <f t="shared" si="57"/>
        <v>3914.64</v>
      </c>
      <c r="AZ18" s="27">
        <f t="shared" si="57"/>
        <v>3721.6799999999994</v>
      </c>
      <c r="BA18" s="27">
        <f t="shared" si="57"/>
        <v>4225.6799999999994</v>
      </c>
      <c r="BB18" s="27">
        <f t="shared" si="57"/>
        <v>3148.56</v>
      </c>
      <c r="BC18" s="27">
        <f t="shared" si="57"/>
        <v>3104.6399999999994</v>
      </c>
      <c r="BD18" s="27">
        <f t="shared" si="57"/>
        <v>3784.3199999999997</v>
      </c>
      <c r="BE18" s="27">
        <f t="shared" si="57"/>
        <v>3651.8399999999997</v>
      </c>
      <c r="BF18" s="27">
        <f t="shared" si="57"/>
        <v>3584.8799999999997</v>
      </c>
      <c r="BG18" s="27">
        <f t="shared" si="57"/>
        <v>3207.6</v>
      </c>
      <c r="BH18" s="27">
        <f t="shared" si="57"/>
        <v>3101.0399999999995</v>
      </c>
      <c r="BI18" s="27">
        <f t="shared" si="57"/>
        <v>3866.3999999999996</v>
      </c>
      <c r="BJ18" s="27">
        <f t="shared" si="57"/>
        <v>3861.3599999999992</v>
      </c>
      <c r="BK18" s="27">
        <f t="shared" si="57"/>
        <v>3414.24</v>
      </c>
      <c r="BL18" s="27">
        <f t="shared" si="57"/>
        <v>5300.6399999999994</v>
      </c>
      <c r="BM18" s="27">
        <f t="shared" si="57"/>
        <v>5309.28</v>
      </c>
      <c r="BN18" s="27">
        <f t="shared" si="57"/>
        <v>3333.5999999999995</v>
      </c>
      <c r="BO18" s="27">
        <f t="shared" si="57"/>
        <v>4020.4799999999996</v>
      </c>
      <c r="BP18" s="41">
        <f>0.6+0.87</f>
        <v>1.47</v>
      </c>
      <c r="BQ18" s="27">
        <f>BP18*12*BQ38</f>
        <v>8599.5</v>
      </c>
      <c r="BR18" s="35" t="s">
        <v>109</v>
      </c>
      <c r="BS18" s="40" t="s">
        <v>9</v>
      </c>
      <c r="BT18" s="41">
        <v>0.62</v>
      </c>
      <c r="BU18" s="27">
        <f>$BT$18*12*BU38</f>
        <v>3391.8959999999997</v>
      </c>
      <c r="BV18" s="27">
        <f>$BT$18*12*BV38</f>
        <v>3420.9119999999998</v>
      </c>
      <c r="BW18" s="27">
        <f>$BT$18*12*BW38</f>
        <v>3847.9680000000003</v>
      </c>
      <c r="BX18" s="27">
        <f>$BT$18*12*BX38</f>
        <v>3839.7840000000001</v>
      </c>
      <c r="BY18" s="35" t="s">
        <v>137</v>
      </c>
      <c r="BZ18" s="40" t="s">
        <v>9</v>
      </c>
      <c r="CA18" s="41">
        <v>0.54</v>
      </c>
      <c r="CB18" s="27">
        <f>$CA$18*12*CB38</f>
        <v>2944.5120000000002</v>
      </c>
      <c r="CC18" s="27">
        <f>$CA$18*12*CC38</f>
        <v>2995.056</v>
      </c>
      <c r="CD18" s="27">
        <f>$CA$18*12*CD38</f>
        <v>3064.3920000000003</v>
      </c>
      <c r="CE18" s="27">
        <f>$CA$18*12*CE38</f>
        <v>2965.2480000000005</v>
      </c>
      <c r="CF18" s="27">
        <f>$CA$18*12*CF38</f>
        <v>2998.9440000000004</v>
      </c>
      <c r="CG18" s="35" t="s">
        <v>109</v>
      </c>
      <c r="CH18" s="40" t="s">
        <v>9</v>
      </c>
      <c r="CI18" s="41">
        <v>0.6</v>
      </c>
      <c r="CJ18" s="27">
        <f t="shared" ref="CJ18:DJ18" si="58">$CI$18*12*CJ38</f>
        <v>3225.5999999999995</v>
      </c>
      <c r="CK18" s="27">
        <f t="shared" si="58"/>
        <v>4067.9999999999995</v>
      </c>
      <c r="CL18" s="27">
        <f t="shared" si="58"/>
        <v>4075.9199999999996</v>
      </c>
      <c r="CM18" s="27">
        <f t="shared" si="58"/>
        <v>3455.2799999999993</v>
      </c>
      <c r="CN18" s="27">
        <f t="shared" si="58"/>
        <v>4012.5599999999995</v>
      </c>
      <c r="CO18" s="27">
        <f t="shared" si="58"/>
        <v>5179.6799999999994</v>
      </c>
      <c r="CP18" s="27">
        <f t="shared" si="58"/>
        <v>3451.6799999999994</v>
      </c>
      <c r="CQ18" s="27">
        <f t="shared" si="58"/>
        <v>3329.2799999999993</v>
      </c>
      <c r="CR18" s="27">
        <f t="shared" si="58"/>
        <v>3026.8799999999997</v>
      </c>
      <c r="CS18" s="27">
        <f t="shared" si="58"/>
        <v>6379.9199999999992</v>
      </c>
      <c r="CT18" s="27">
        <f t="shared" si="58"/>
        <v>5209.2</v>
      </c>
      <c r="CU18" s="27">
        <f t="shared" si="58"/>
        <v>4053.5999999999995</v>
      </c>
      <c r="CV18" s="27">
        <f t="shared" si="58"/>
        <v>4146.4799999999996</v>
      </c>
      <c r="CW18" s="27">
        <f t="shared" si="58"/>
        <v>2494.0799999999995</v>
      </c>
      <c r="CX18" s="27">
        <f t="shared" si="58"/>
        <v>4386.9599999999991</v>
      </c>
      <c r="CY18" s="27">
        <f t="shared" si="58"/>
        <v>3980.8799999999997</v>
      </c>
      <c r="CZ18" s="27">
        <f t="shared" si="58"/>
        <v>3628.0799999999995</v>
      </c>
      <c r="DA18" s="27">
        <f t="shared" si="58"/>
        <v>3646.7999999999997</v>
      </c>
      <c r="DB18" s="27">
        <f t="shared" si="58"/>
        <v>3791.52</v>
      </c>
      <c r="DC18" s="27">
        <f t="shared" si="58"/>
        <v>3333.5999999999995</v>
      </c>
      <c r="DD18" s="27">
        <f t="shared" si="58"/>
        <v>3732.4799999999996</v>
      </c>
      <c r="DE18" s="27">
        <f t="shared" si="58"/>
        <v>3771.3599999999992</v>
      </c>
      <c r="DF18" s="27">
        <f t="shared" si="58"/>
        <v>4058.64</v>
      </c>
      <c r="DG18" s="27">
        <f t="shared" si="58"/>
        <v>4372.5599999999995</v>
      </c>
      <c r="DH18" s="27">
        <f t="shared" si="58"/>
        <v>4492.079999999999</v>
      </c>
      <c r="DI18" s="27">
        <f>$CI$18*12*DI38</f>
        <v>3635.2799999999993</v>
      </c>
      <c r="DJ18" s="27">
        <f t="shared" si="58"/>
        <v>3952.0799999999995</v>
      </c>
      <c r="DK18" s="41">
        <f>0.6+0.69</f>
        <v>1.29</v>
      </c>
      <c r="DL18" s="27">
        <f>DK18*12*DL38</f>
        <v>7583.652</v>
      </c>
      <c r="DM18" s="41">
        <f>0.6+0.8</f>
        <v>1.4</v>
      </c>
      <c r="DN18" s="27">
        <f>DM18*12*DN38</f>
        <v>9315.5999999999985</v>
      </c>
      <c r="DO18" s="41">
        <f>0.6+1.04</f>
        <v>1.6400000000000001</v>
      </c>
      <c r="DP18" s="27">
        <f>DO18*12*DP38</f>
        <v>9942.3359999999993</v>
      </c>
      <c r="DQ18" s="41">
        <f>0.6+1.2</f>
        <v>1.7999999999999998</v>
      </c>
      <c r="DR18" s="27">
        <f>DQ18*12*DR38</f>
        <v>10998.72</v>
      </c>
      <c r="DS18" s="41">
        <f>0.6+0.77</f>
        <v>1.37</v>
      </c>
      <c r="DT18" s="27">
        <f>DS18*12*DT38</f>
        <v>16343.004000000001</v>
      </c>
      <c r="DU18" s="41">
        <f>0.6+0.75</f>
        <v>1.35</v>
      </c>
      <c r="DV18" s="27">
        <f>DU18*12*DV38</f>
        <v>9216.1800000000021</v>
      </c>
      <c r="DW18" s="41">
        <f>0.6+1.11</f>
        <v>1.71</v>
      </c>
      <c r="DX18" s="27">
        <f>DW18*12*DX38</f>
        <v>9258.6239999999998</v>
      </c>
      <c r="DY18" s="41">
        <f>0.6+0.85</f>
        <v>1.45</v>
      </c>
      <c r="DZ18" s="27">
        <f>DY18*12*DZ38</f>
        <v>7904.82</v>
      </c>
      <c r="EA18" s="41">
        <f>0.6+0.71</f>
        <v>1.31</v>
      </c>
      <c r="EB18" s="27">
        <f>EA18*12*EB38</f>
        <v>7336.5240000000003</v>
      </c>
      <c r="EC18" s="41">
        <f>0.6+0.97</f>
        <v>1.5699999999999998</v>
      </c>
      <c r="ED18" s="27">
        <f>EC18*12*ED38</f>
        <v>10056.791999999998</v>
      </c>
      <c r="EE18" s="41">
        <f>0.6+0.82</f>
        <v>1.42</v>
      </c>
      <c r="EF18" s="27">
        <f>EE18*12*EF38</f>
        <v>7988.3519999999999</v>
      </c>
      <c r="EG18" s="41">
        <f>0.6+1.17</f>
        <v>1.77</v>
      </c>
      <c r="EH18" s="27">
        <f>EG18*12*EH38</f>
        <v>10959.84</v>
      </c>
      <c r="EI18" s="41">
        <f>0.6+0.96</f>
        <v>1.56</v>
      </c>
      <c r="EJ18" s="27">
        <f>EI18*12*EJ38</f>
        <v>10578.672</v>
      </c>
      <c r="EK18" s="35" t="s">
        <v>109</v>
      </c>
      <c r="EL18" s="40" t="s">
        <v>9</v>
      </c>
      <c r="EM18" s="41">
        <v>0.62</v>
      </c>
      <c r="EN18" s="27">
        <f>$EM$18*12*EN38</f>
        <v>3644.8559999999998</v>
      </c>
      <c r="EO18" s="27">
        <f>$EM$18*12*EO38</f>
        <v>3481.1759999999995</v>
      </c>
      <c r="EP18" s="27">
        <f>$EM$18*12*EP38</f>
        <v>3644.8559999999998</v>
      </c>
      <c r="EQ18" s="41">
        <f>0.62+1.19</f>
        <v>1.81</v>
      </c>
      <c r="ER18" s="27">
        <f>EQ18*12*ER38</f>
        <v>10119.347999999998</v>
      </c>
      <c r="ES18" s="35" t="s">
        <v>137</v>
      </c>
      <c r="ET18" s="40" t="s">
        <v>9</v>
      </c>
      <c r="EU18" s="41">
        <v>0.54</v>
      </c>
      <c r="EV18" s="27">
        <f>$EU$18*12*EV38</f>
        <v>2954.232</v>
      </c>
      <c r="EW18" s="54">
        <f>$EU$18*12*EW38</f>
        <v>2694.3840000000005</v>
      </c>
      <c r="EX18" s="54">
        <f>$EU$18*12*EX38</f>
        <v>3018.3840000000005</v>
      </c>
      <c r="EY18" s="61" t="s">
        <v>218</v>
      </c>
      <c r="EZ18" s="124" t="s">
        <v>163</v>
      </c>
      <c r="FA18" s="130">
        <v>0.12</v>
      </c>
      <c r="FB18" s="113">
        <f>0.12*12*FB38</f>
        <v>5682.6720000000005</v>
      </c>
      <c r="FC18" s="113">
        <f>0.12*12*FC38</f>
        <v>3325.2479999999996</v>
      </c>
      <c r="FD18" s="113">
        <f>0.12*12*FD38</f>
        <v>3179.3760000000002</v>
      </c>
      <c r="FE18" s="88">
        <v>0</v>
      </c>
      <c r="FF18" s="89">
        <v>0</v>
      </c>
      <c r="FG18" s="88">
        <v>0</v>
      </c>
      <c r="FH18" s="113">
        <v>0</v>
      </c>
      <c r="FI18" s="131"/>
      <c r="FJ18" s="131"/>
      <c r="FK18" s="2"/>
    </row>
    <row r="19" spans="1:169" s="28" customFormat="1" ht="38.25" customHeight="1" x14ac:dyDescent="0.2">
      <c r="A19" s="32" t="s">
        <v>110</v>
      </c>
      <c r="B19" s="40" t="s">
        <v>115</v>
      </c>
      <c r="C19" s="41">
        <v>7.0000000000000007E-2</v>
      </c>
      <c r="D19" s="27">
        <f t="shared" ref="D19:AI19" si="59">$C$19*12*D38</f>
        <v>405.38400000000007</v>
      </c>
      <c r="E19" s="27">
        <f t="shared" si="59"/>
        <v>496.52400000000006</v>
      </c>
      <c r="F19" s="27">
        <f t="shared" si="59"/>
        <v>387.49200000000002</v>
      </c>
      <c r="G19" s="27">
        <f t="shared" si="59"/>
        <v>358.68</v>
      </c>
      <c r="H19" s="27">
        <f t="shared" si="59"/>
        <v>1145.3400000000001</v>
      </c>
      <c r="I19" s="27">
        <f t="shared" si="59"/>
        <v>489.55200000000002</v>
      </c>
      <c r="J19" s="27">
        <f t="shared" si="59"/>
        <v>487.62000000000006</v>
      </c>
      <c r="K19" s="27">
        <f t="shared" si="59"/>
        <v>463.84800000000007</v>
      </c>
      <c r="L19" s="27">
        <f t="shared" si="59"/>
        <v>474.096</v>
      </c>
      <c r="M19" s="27">
        <f t="shared" si="59"/>
        <v>506.77199999999999</v>
      </c>
      <c r="N19" s="27">
        <f t="shared" si="59"/>
        <v>290.64000000000004</v>
      </c>
      <c r="O19" s="27">
        <f t="shared" si="59"/>
        <v>679.56000000000006</v>
      </c>
      <c r="P19" s="27">
        <f t="shared" si="59"/>
        <v>487.11600000000004</v>
      </c>
      <c r="Q19" s="27">
        <f t="shared" si="59"/>
        <v>390.51600000000002</v>
      </c>
      <c r="R19" s="27">
        <f t="shared" si="59"/>
        <v>439.32000000000005</v>
      </c>
      <c r="S19" s="27">
        <f t="shared" si="59"/>
        <v>611.77200000000005</v>
      </c>
      <c r="T19" s="27">
        <f t="shared" si="59"/>
        <v>502.572</v>
      </c>
      <c r="U19" s="27">
        <f t="shared" si="59"/>
        <v>384.21600000000001</v>
      </c>
      <c r="V19" s="27">
        <f t="shared" si="59"/>
        <v>399.25200000000007</v>
      </c>
      <c r="W19" s="27">
        <f t="shared" si="59"/>
        <v>386.82000000000005</v>
      </c>
      <c r="X19" s="27">
        <f t="shared" si="59"/>
        <v>612.27600000000007</v>
      </c>
      <c r="Y19" s="27">
        <f t="shared" si="59"/>
        <v>388.66800000000001</v>
      </c>
      <c r="Z19" s="27">
        <f t="shared" si="59"/>
        <v>382.95600000000002</v>
      </c>
      <c r="AA19" s="27">
        <f t="shared" si="59"/>
        <v>433.86</v>
      </c>
      <c r="AB19" s="27">
        <f t="shared" si="59"/>
        <v>434.19600000000003</v>
      </c>
      <c r="AC19" s="27">
        <f t="shared" si="59"/>
        <v>431.42400000000004</v>
      </c>
      <c r="AD19" s="27">
        <f t="shared" si="59"/>
        <v>396.90000000000003</v>
      </c>
      <c r="AE19" s="27">
        <f t="shared" si="59"/>
        <v>400.596</v>
      </c>
      <c r="AF19" s="27">
        <f t="shared" si="59"/>
        <v>405.38400000000007</v>
      </c>
      <c r="AG19" s="27">
        <f t="shared" si="59"/>
        <v>397.99200000000008</v>
      </c>
      <c r="AH19" s="27">
        <f t="shared" si="59"/>
        <v>435.54</v>
      </c>
      <c r="AI19" s="27">
        <f t="shared" si="59"/>
        <v>473.5080000000001</v>
      </c>
      <c r="AJ19" s="27">
        <f t="shared" ref="AJ19:BO19" si="60">$C$19*12*AJ38</f>
        <v>404.62800000000004</v>
      </c>
      <c r="AK19" s="27">
        <f t="shared" si="60"/>
        <v>736.42800000000011</v>
      </c>
      <c r="AL19" s="27">
        <f t="shared" si="60"/>
        <v>399.00000000000006</v>
      </c>
      <c r="AM19" s="27">
        <f t="shared" si="60"/>
        <v>382.95600000000002</v>
      </c>
      <c r="AN19" s="27">
        <f t="shared" si="60"/>
        <v>360.27600000000001</v>
      </c>
      <c r="AO19" s="27">
        <f t="shared" si="60"/>
        <v>611.26800000000014</v>
      </c>
      <c r="AP19" s="27">
        <f t="shared" si="60"/>
        <v>352.38000000000005</v>
      </c>
      <c r="AQ19" s="27">
        <f t="shared" si="60"/>
        <v>500.13600000000002</v>
      </c>
      <c r="AR19" s="27">
        <f t="shared" si="60"/>
        <v>621.51600000000008</v>
      </c>
      <c r="AS19" s="27">
        <f t="shared" si="60"/>
        <v>818.49600000000009</v>
      </c>
      <c r="AT19" s="27">
        <f t="shared" si="60"/>
        <v>477.37200000000001</v>
      </c>
      <c r="AU19" s="27">
        <f t="shared" si="60"/>
        <v>557.67600000000004</v>
      </c>
      <c r="AV19" s="27">
        <f t="shared" si="60"/>
        <v>446.37600000000003</v>
      </c>
      <c r="AW19" s="27">
        <f t="shared" si="60"/>
        <v>354.22800000000001</v>
      </c>
      <c r="AX19" s="27">
        <f t="shared" si="60"/>
        <v>397.65600000000001</v>
      </c>
      <c r="AY19" s="27">
        <f t="shared" si="60"/>
        <v>456.70800000000008</v>
      </c>
      <c r="AZ19" s="27">
        <f t="shared" si="60"/>
        <v>434.19600000000003</v>
      </c>
      <c r="BA19" s="27">
        <f t="shared" si="60"/>
        <v>492.99600000000004</v>
      </c>
      <c r="BB19" s="27">
        <f t="shared" si="60"/>
        <v>367.33200000000005</v>
      </c>
      <c r="BC19" s="27">
        <f t="shared" si="60"/>
        <v>362.20800000000003</v>
      </c>
      <c r="BD19" s="27">
        <f t="shared" si="60"/>
        <v>441.50400000000008</v>
      </c>
      <c r="BE19" s="27">
        <f t="shared" si="60"/>
        <v>426.04800000000006</v>
      </c>
      <c r="BF19" s="27">
        <f t="shared" si="60"/>
        <v>418.23600000000005</v>
      </c>
      <c r="BG19" s="27">
        <f t="shared" si="60"/>
        <v>374.22</v>
      </c>
      <c r="BH19" s="27">
        <f t="shared" si="60"/>
        <v>361.78800000000001</v>
      </c>
      <c r="BI19" s="27">
        <f t="shared" si="60"/>
        <v>451.08000000000004</v>
      </c>
      <c r="BJ19" s="27">
        <f t="shared" si="60"/>
        <v>450.49200000000002</v>
      </c>
      <c r="BK19" s="27">
        <f t="shared" si="60"/>
        <v>398.32800000000003</v>
      </c>
      <c r="BL19" s="27">
        <f t="shared" si="60"/>
        <v>618.40800000000013</v>
      </c>
      <c r="BM19" s="27">
        <f t="shared" si="60"/>
        <v>619.41600000000005</v>
      </c>
      <c r="BN19" s="27">
        <f t="shared" si="60"/>
        <v>388.92</v>
      </c>
      <c r="BO19" s="27">
        <f t="shared" si="60"/>
        <v>469.05600000000004</v>
      </c>
      <c r="BP19" s="41">
        <v>7.0000000000000007E-2</v>
      </c>
      <c r="BQ19" s="27">
        <f>$C$19*12*BQ38</f>
        <v>409.50000000000006</v>
      </c>
      <c r="BR19" s="32" t="s">
        <v>110</v>
      </c>
      <c r="BS19" s="41" t="s">
        <v>125</v>
      </c>
      <c r="BT19" s="41">
        <v>0.08</v>
      </c>
      <c r="BU19" s="27">
        <f>$BT$19*12*BU38</f>
        <v>437.66399999999999</v>
      </c>
      <c r="BV19" s="27">
        <f>$BT$19*12*BV38</f>
        <v>441.40800000000002</v>
      </c>
      <c r="BW19" s="27">
        <f>$BT$19*12*BW38</f>
        <v>496.512</v>
      </c>
      <c r="BX19" s="27">
        <f>$BT$19*12*BX38</f>
        <v>495.45600000000002</v>
      </c>
      <c r="BY19" s="32" t="s">
        <v>138</v>
      </c>
      <c r="BZ19" s="41" t="s">
        <v>125</v>
      </c>
      <c r="CA19" s="41">
        <v>0.06</v>
      </c>
      <c r="CB19" s="27">
        <f>$CA$19*12*CB38</f>
        <v>327.16799999999995</v>
      </c>
      <c r="CC19" s="27">
        <f>$CA$19*12*CC38</f>
        <v>332.78399999999999</v>
      </c>
      <c r="CD19" s="27">
        <f>$CA$19*12*CD38</f>
        <v>340.48799999999994</v>
      </c>
      <c r="CE19" s="27">
        <f>$CA$19*12*CE38</f>
        <v>329.47199999999998</v>
      </c>
      <c r="CF19" s="27">
        <f>$CA$19*12*CF38</f>
        <v>333.21600000000001</v>
      </c>
      <c r="CG19" s="32" t="s">
        <v>110</v>
      </c>
      <c r="CH19" s="41" t="s">
        <v>115</v>
      </c>
      <c r="CI19" s="41">
        <v>7.0000000000000007E-2</v>
      </c>
      <c r="CJ19" s="27">
        <f t="shared" ref="CJ19:DJ19" si="61">$CI$19*12*CJ38</f>
        <v>376.32000000000005</v>
      </c>
      <c r="CK19" s="27">
        <f t="shared" si="61"/>
        <v>474.6</v>
      </c>
      <c r="CL19" s="27">
        <f t="shared" si="61"/>
        <v>475.52400000000006</v>
      </c>
      <c r="CM19" s="27">
        <f t="shared" si="61"/>
        <v>403.11600000000004</v>
      </c>
      <c r="CN19" s="27">
        <f t="shared" si="61"/>
        <v>468.13200000000001</v>
      </c>
      <c r="CO19" s="27">
        <f t="shared" si="61"/>
        <v>604.29600000000005</v>
      </c>
      <c r="CP19" s="27">
        <f t="shared" si="61"/>
        <v>402.69600000000003</v>
      </c>
      <c r="CQ19" s="27">
        <f t="shared" si="61"/>
        <v>388.416</v>
      </c>
      <c r="CR19" s="27">
        <f t="shared" si="61"/>
        <v>353.13600000000002</v>
      </c>
      <c r="CS19" s="27">
        <f t="shared" si="61"/>
        <v>744.32400000000007</v>
      </c>
      <c r="CT19" s="27">
        <f t="shared" si="61"/>
        <v>607.74</v>
      </c>
      <c r="CU19" s="27">
        <f t="shared" si="61"/>
        <v>472.92000000000007</v>
      </c>
      <c r="CV19" s="27">
        <f t="shared" si="61"/>
        <v>483.75600000000003</v>
      </c>
      <c r="CW19" s="27">
        <f t="shared" si="61"/>
        <v>290.976</v>
      </c>
      <c r="CX19" s="27">
        <f t="shared" si="61"/>
        <v>511.81200000000001</v>
      </c>
      <c r="CY19" s="27">
        <f t="shared" si="61"/>
        <v>464.43600000000004</v>
      </c>
      <c r="CZ19" s="27">
        <f t="shared" si="61"/>
        <v>423.27600000000001</v>
      </c>
      <c r="DA19" s="27">
        <f t="shared" si="61"/>
        <v>425.46000000000004</v>
      </c>
      <c r="DB19" s="27">
        <f t="shared" si="61"/>
        <v>442.34400000000005</v>
      </c>
      <c r="DC19" s="27">
        <f t="shared" si="61"/>
        <v>388.92</v>
      </c>
      <c r="DD19" s="27">
        <f t="shared" si="61"/>
        <v>435.45600000000002</v>
      </c>
      <c r="DE19" s="27">
        <f t="shared" si="61"/>
        <v>439.99200000000002</v>
      </c>
      <c r="DF19" s="27">
        <f t="shared" si="61"/>
        <v>473.5080000000001</v>
      </c>
      <c r="DG19" s="27">
        <f t="shared" si="61"/>
        <v>510.13200000000001</v>
      </c>
      <c r="DH19" s="27">
        <f t="shared" si="61"/>
        <v>524.07600000000002</v>
      </c>
      <c r="DI19" s="27">
        <f>$CI$19*12*DI38</f>
        <v>424.11600000000004</v>
      </c>
      <c r="DJ19" s="27">
        <f t="shared" si="61"/>
        <v>461.07600000000002</v>
      </c>
      <c r="DK19" s="41">
        <v>7.0000000000000007E-2</v>
      </c>
      <c r="DL19" s="27">
        <f>$CI$19*12*DL38</f>
        <v>411.51600000000002</v>
      </c>
      <c r="DM19" s="41">
        <v>7.0000000000000007E-2</v>
      </c>
      <c r="DN19" s="27">
        <f>$CI$19*12*DN38</f>
        <v>465.78000000000003</v>
      </c>
      <c r="DO19" s="41">
        <v>7.0000000000000007E-2</v>
      </c>
      <c r="DP19" s="27">
        <f>$CI$19*12*DP38</f>
        <v>424.36800000000005</v>
      </c>
      <c r="DQ19" s="41">
        <v>7.0000000000000007E-2</v>
      </c>
      <c r="DR19" s="27">
        <f>$CI$19*12*DR38</f>
        <v>427.72800000000001</v>
      </c>
      <c r="DS19" s="41">
        <v>7.0000000000000007E-2</v>
      </c>
      <c r="DT19" s="27">
        <f>$CI$19*12*DT38</f>
        <v>835.0440000000001</v>
      </c>
      <c r="DU19" s="41">
        <v>7.0000000000000007E-2</v>
      </c>
      <c r="DV19" s="27">
        <f>$CI$19*12*DV38</f>
        <v>477.87600000000003</v>
      </c>
      <c r="DW19" s="41">
        <v>7.0000000000000007E-2</v>
      </c>
      <c r="DX19" s="27">
        <f>$CI$19*12*DX38</f>
        <v>379.00800000000004</v>
      </c>
      <c r="DY19" s="41">
        <v>7.0000000000000007E-2</v>
      </c>
      <c r="DZ19" s="27">
        <f>$CI$19*12*DZ38</f>
        <v>381.61200000000002</v>
      </c>
      <c r="EA19" s="41">
        <v>7.0000000000000007E-2</v>
      </c>
      <c r="EB19" s="27">
        <f>$CI$19*12*EB38</f>
        <v>392.02800000000002</v>
      </c>
      <c r="EC19" s="41">
        <v>7.0000000000000007E-2</v>
      </c>
      <c r="ED19" s="27">
        <f>$CI$19*12*ED38</f>
        <v>448.392</v>
      </c>
      <c r="EE19" s="41">
        <v>7.0000000000000007E-2</v>
      </c>
      <c r="EF19" s="27">
        <f>$CI$19*12*EF38</f>
        <v>393.79200000000003</v>
      </c>
      <c r="EG19" s="41">
        <v>7.0000000000000007E-2</v>
      </c>
      <c r="EH19" s="27">
        <f>$CI$19*12*EH38</f>
        <v>433.44000000000005</v>
      </c>
      <c r="EI19" s="41">
        <v>7.0000000000000007E-2</v>
      </c>
      <c r="EJ19" s="27">
        <f>$CI$19*12*EJ38</f>
        <v>474.68400000000008</v>
      </c>
      <c r="EK19" s="32" t="s">
        <v>110</v>
      </c>
      <c r="EL19" s="41" t="s">
        <v>125</v>
      </c>
      <c r="EM19" s="41">
        <v>0.08</v>
      </c>
      <c r="EN19" s="27">
        <f>$EM$19*12*EN38</f>
        <v>470.30399999999997</v>
      </c>
      <c r="EO19" s="27">
        <f>$EM$19*12*EO38</f>
        <v>449.18399999999997</v>
      </c>
      <c r="EP19" s="27">
        <f>$EM$19*12*EP38</f>
        <v>470.30399999999997</v>
      </c>
      <c r="EQ19" s="41">
        <v>0.08</v>
      </c>
      <c r="ER19" s="27">
        <f>$EM$19*12*ER38</f>
        <v>447.26399999999995</v>
      </c>
      <c r="ES19" s="32" t="s">
        <v>138</v>
      </c>
      <c r="ET19" s="41" t="s">
        <v>125</v>
      </c>
      <c r="EU19" s="41">
        <v>0.06</v>
      </c>
      <c r="EV19" s="27">
        <f>$EU$19*12*EV38</f>
        <v>328.24799999999999</v>
      </c>
      <c r="EW19" s="54">
        <f>$EU$19*12*EW38</f>
        <v>299.37599999999998</v>
      </c>
      <c r="EX19" s="54">
        <f>$EU$19*12*EX38</f>
        <v>335.37599999999998</v>
      </c>
      <c r="EY19" s="61" t="s">
        <v>219</v>
      </c>
      <c r="EZ19" s="124" t="s">
        <v>162</v>
      </c>
      <c r="FA19" s="130">
        <v>0.31</v>
      </c>
      <c r="FB19" s="113">
        <f>0.31*12*FB38</f>
        <v>14680.235999999999</v>
      </c>
      <c r="FC19" s="113">
        <f>0.31*12*FC38</f>
        <v>8590.2239999999983</v>
      </c>
      <c r="FD19" s="113">
        <f>0.31*12*FD38</f>
        <v>8213.387999999999</v>
      </c>
      <c r="FE19" s="88">
        <v>0.4</v>
      </c>
      <c r="FF19" s="89">
        <f>0.4*12*FF38</f>
        <v>18073.920000000002</v>
      </c>
      <c r="FG19" s="88">
        <f>0.4+2</f>
        <v>2.4</v>
      </c>
      <c r="FH19" s="113">
        <f>2.4*12*FH38</f>
        <v>104034.23999999999</v>
      </c>
      <c r="FI19" s="131"/>
      <c r="FJ19" s="131"/>
      <c r="FK19" s="2"/>
    </row>
    <row r="20" spans="1:169" s="28" customFormat="1" ht="25.5" x14ac:dyDescent="0.2">
      <c r="A20" s="32" t="s">
        <v>111</v>
      </c>
      <c r="B20" s="40" t="s">
        <v>116</v>
      </c>
      <c r="C20" s="41">
        <v>2.4900000000000002</v>
      </c>
      <c r="D20" s="27">
        <f t="shared" ref="D20:AI20" si="62">$C$20*12*D38</f>
        <v>14420.088000000002</v>
      </c>
      <c r="E20" s="27">
        <f t="shared" si="62"/>
        <v>17662.068000000003</v>
      </c>
      <c r="F20" s="27">
        <f t="shared" si="62"/>
        <v>13783.644000000002</v>
      </c>
      <c r="G20" s="27">
        <f t="shared" si="62"/>
        <v>12758.76</v>
      </c>
      <c r="H20" s="27">
        <f t="shared" si="62"/>
        <v>40741.380000000005</v>
      </c>
      <c r="I20" s="27">
        <f t="shared" si="62"/>
        <v>17414.063999999998</v>
      </c>
      <c r="J20" s="27">
        <f t="shared" si="62"/>
        <v>17345.34</v>
      </c>
      <c r="K20" s="27">
        <f t="shared" si="62"/>
        <v>16499.736000000004</v>
      </c>
      <c r="L20" s="27">
        <f t="shared" si="62"/>
        <v>16864.272000000001</v>
      </c>
      <c r="M20" s="27">
        <f t="shared" si="62"/>
        <v>18026.603999999999</v>
      </c>
      <c r="N20" s="27">
        <f t="shared" si="62"/>
        <v>10338.480000000001</v>
      </c>
      <c r="O20" s="27">
        <f t="shared" si="62"/>
        <v>24172.920000000002</v>
      </c>
      <c r="P20" s="27">
        <f t="shared" si="62"/>
        <v>17327.412</v>
      </c>
      <c r="Q20" s="27">
        <f t="shared" si="62"/>
        <v>13891.212000000001</v>
      </c>
      <c r="R20" s="27">
        <f t="shared" si="62"/>
        <v>15627.240000000002</v>
      </c>
      <c r="S20" s="27">
        <f t="shared" si="62"/>
        <v>21761.603999999999</v>
      </c>
      <c r="T20" s="27">
        <f t="shared" si="62"/>
        <v>17877.204000000002</v>
      </c>
      <c r="U20" s="27">
        <f t="shared" si="62"/>
        <v>13667.112000000001</v>
      </c>
      <c r="V20" s="27">
        <f t="shared" si="62"/>
        <v>14201.964000000002</v>
      </c>
      <c r="W20" s="27">
        <f t="shared" si="62"/>
        <v>13759.740000000002</v>
      </c>
      <c r="X20" s="27">
        <f t="shared" si="62"/>
        <v>21779.532000000003</v>
      </c>
      <c r="Y20" s="27">
        <f t="shared" si="62"/>
        <v>13825.476000000001</v>
      </c>
      <c r="Z20" s="27">
        <f t="shared" si="62"/>
        <v>13622.292000000001</v>
      </c>
      <c r="AA20" s="27">
        <f t="shared" si="62"/>
        <v>15433.02</v>
      </c>
      <c r="AB20" s="27">
        <f t="shared" si="62"/>
        <v>15444.972</v>
      </c>
      <c r="AC20" s="27">
        <f t="shared" si="62"/>
        <v>15346.368000000002</v>
      </c>
      <c r="AD20" s="27">
        <f t="shared" si="62"/>
        <v>14118.300000000001</v>
      </c>
      <c r="AE20" s="27">
        <f t="shared" si="62"/>
        <v>14249.772000000001</v>
      </c>
      <c r="AF20" s="27">
        <f t="shared" si="62"/>
        <v>14420.088000000002</v>
      </c>
      <c r="AG20" s="27">
        <f t="shared" si="62"/>
        <v>14157.144000000002</v>
      </c>
      <c r="AH20" s="27">
        <f t="shared" si="62"/>
        <v>15492.78</v>
      </c>
      <c r="AI20" s="27">
        <f t="shared" si="62"/>
        <v>16843.356000000003</v>
      </c>
      <c r="AJ20" s="27">
        <f t="shared" ref="AJ20:BO20" si="63">$C$20*12*AJ38</f>
        <v>14393.196000000002</v>
      </c>
      <c r="AK20" s="27">
        <f t="shared" si="63"/>
        <v>26195.796000000002</v>
      </c>
      <c r="AL20" s="27">
        <f t="shared" si="63"/>
        <v>14193.000000000002</v>
      </c>
      <c r="AM20" s="27">
        <f t="shared" si="63"/>
        <v>13622.292000000001</v>
      </c>
      <c r="AN20" s="27">
        <f t="shared" si="63"/>
        <v>12815.532000000001</v>
      </c>
      <c r="AO20" s="27">
        <f t="shared" si="63"/>
        <v>21743.676000000003</v>
      </c>
      <c r="AP20" s="27">
        <f t="shared" si="63"/>
        <v>12534.660000000002</v>
      </c>
      <c r="AQ20" s="27">
        <f t="shared" si="63"/>
        <v>17790.552</v>
      </c>
      <c r="AR20" s="27">
        <f t="shared" si="63"/>
        <v>22108.212</v>
      </c>
      <c r="AS20" s="27">
        <f t="shared" si="63"/>
        <v>29115.072</v>
      </c>
      <c r="AT20" s="27">
        <f t="shared" si="63"/>
        <v>16980.804</v>
      </c>
      <c r="AU20" s="27">
        <f t="shared" si="63"/>
        <v>19837.332000000002</v>
      </c>
      <c r="AV20" s="27">
        <f t="shared" si="63"/>
        <v>15878.232</v>
      </c>
      <c r="AW20" s="27">
        <f t="shared" si="63"/>
        <v>12600.396000000001</v>
      </c>
      <c r="AX20" s="27">
        <f t="shared" si="63"/>
        <v>14145.192000000001</v>
      </c>
      <c r="AY20" s="27">
        <f t="shared" si="63"/>
        <v>16245.756000000003</v>
      </c>
      <c r="AZ20" s="27">
        <f t="shared" si="63"/>
        <v>15444.972</v>
      </c>
      <c r="BA20" s="27">
        <f t="shared" si="63"/>
        <v>17536.572</v>
      </c>
      <c r="BB20" s="27">
        <f t="shared" si="63"/>
        <v>13066.524000000001</v>
      </c>
      <c r="BC20" s="27">
        <f t="shared" si="63"/>
        <v>12884.256000000001</v>
      </c>
      <c r="BD20" s="27">
        <f t="shared" si="63"/>
        <v>15704.928000000002</v>
      </c>
      <c r="BE20" s="27">
        <f t="shared" si="63"/>
        <v>15155.136</v>
      </c>
      <c r="BF20" s="27">
        <f t="shared" si="63"/>
        <v>14877.252</v>
      </c>
      <c r="BG20" s="27">
        <f t="shared" si="63"/>
        <v>13311.54</v>
      </c>
      <c r="BH20" s="27">
        <f t="shared" si="63"/>
        <v>12869.316000000001</v>
      </c>
      <c r="BI20" s="27">
        <f t="shared" si="63"/>
        <v>16045.560000000001</v>
      </c>
      <c r="BJ20" s="27">
        <f t="shared" si="63"/>
        <v>16024.644</v>
      </c>
      <c r="BK20" s="27">
        <f t="shared" si="63"/>
        <v>14169.096000000001</v>
      </c>
      <c r="BL20" s="27">
        <f t="shared" si="63"/>
        <v>21997.656000000003</v>
      </c>
      <c r="BM20" s="27">
        <f t="shared" si="63"/>
        <v>22033.512000000002</v>
      </c>
      <c r="BN20" s="27">
        <f t="shared" si="63"/>
        <v>13834.44</v>
      </c>
      <c r="BO20" s="27">
        <f t="shared" si="63"/>
        <v>16684.992000000002</v>
      </c>
      <c r="BP20" s="41">
        <v>2.4900000000000002</v>
      </c>
      <c r="BQ20" s="27">
        <f>$C$20*12*BQ38</f>
        <v>14566.500000000002</v>
      </c>
      <c r="BR20" s="123" t="s">
        <v>111</v>
      </c>
      <c r="BS20" s="40" t="s">
        <v>126</v>
      </c>
      <c r="BT20" s="41">
        <v>2.4900000000000002</v>
      </c>
      <c r="BU20" s="27">
        <f>$BT$20*12*BU38</f>
        <v>13622.292000000001</v>
      </c>
      <c r="BV20" s="27">
        <f>$BT$20*12*BV38</f>
        <v>13738.824000000002</v>
      </c>
      <c r="BW20" s="27">
        <f>$BT$20*12*BW38</f>
        <v>15453.936000000003</v>
      </c>
      <c r="BX20" s="27">
        <f>$BT$20*12*BX38</f>
        <v>15421.068000000001</v>
      </c>
      <c r="BY20" s="123" t="s">
        <v>139</v>
      </c>
      <c r="BZ20" s="40" t="s">
        <v>140</v>
      </c>
      <c r="CA20" s="41">
        <v>3.34</v>
      </c>
      <c r="CB20" s="27">
        <f>$CA$20*12*CB38</f>
        <v>18212.351999999999</v>
      </c>
      <c r="CC20" s="27">
        <f>$CA$20*12*CC38</f>
        <v>18524.975999999999</v>
      </c>
      <c r="CD20" s="27">
        <f>$CA$20*12*CD38</f>
        <v>18953.831999999999</v>
      </c>
      <c r="CE20" s="27">
        <f>$CA$20*12*CE38</f>
        <v>18340.608</v>
      </c>
      <c r="CF20" s="27">
        <f>$CA$20*12*CF38</f>
        <v>18549.024000000001</v>
      </c>
      <c r="CG20" s="123" t="s">
        <v>111</v>
      </c>
      <c r="CH20" s="40" t="s">
        <v>116</v>
      </c>
      <c r="CI20" s="41">
        <v>2.4900000000000002</v>
      </c>
      <c r="CJ20" s="27">
        <f t="shared" ref="CJ20:DJ20" si="64">$CI$20*12*CJ38</f>
        <v>13386.240000000002</v>
      </c>
      <c r="CK20" s="27">
        <f t="shared" si="64"/>
        <v>16882.2</v>
      </c>
      <c r="CL20" s="27">
        <f t="shared" si="64"/>
        <v>16915.068000000003</v>
      </c>
      <c r="CM20" s="27">
        <f t="shared" si="64"/>
        <v>14339.412</v>
      </c>
      <c r="CN20" s="27">
        <f t="shared" si="64"/>
        <v>16652.124</v>
      </c>
      <c r="CO20" s="27">
        <f t="shared" si="64"/>
        <v>21495.672000000002</v>
      </c>
      <c r="CP20" s="27">
        <f t="shared" si="64"/>
        <v>14324.472</v>
      </c>
      <c r="CQ20" s="27">
        <f t="shared" si="64"/>
        <v>13816.512000000001</v>
      </c>
      <c r="CR20" s="27">
        <f t="shared" si="64"/>
        <v>12561.552</v>
      </c>
      <c r="CS20" s="27">
        <f t="shared" si="64"/>
        <v>26476.668000000001</v>
      </c>
      <c r="CT20" s="27">
        <f t="shared" si="64"/>
        <v>21618.18</v>
      </c>
      <c r="CU20" s="27">
        <f t="shared" si="64"/>
        <v>16822.440000000002</v>
      </c>
      <c r="CV20" s="27">
        <f t="shared" si="64"/>
        <v>17207.892</v>
      </c>
      <c r="CW20" s="27">
        <f t="shared" si="64"/>
        <v>10350.432000000001</v>
      </c>
      <c r="CX20" s="27">
        <f t="shared" si="64"/>
        <v>18205.884000000002</v>
      </c>
      <c r="CY20" s="27">
        <f t="shared" si="64"/>
        <v>16520.652000000002</v>
      </c>
      <c r="CZ20" s="27">
        <f t="shared" si="64"/>
        <v>15056.532000000001</v>
      </c>
      <c r="DA20" s="27">
        <f t="shared" si="64"/>
        <v>15134.220000000001</v>
      </c>
      <c r="DB20" s="27">
        <f t="shared" si="64"/>
        <v>15734.808000000003</v>
      </c>
      <c r="DC20" s="27">
        <f t="shared" si="64"/>
        <v>13834.44</v>
      </c>
      <c r="DD20" s="27">
        <f t="shared" si="64"/>
        <v>15489.792000000001</v>
      </c>
      <c r="DE20" s="27">
        <f t="shared" si="64"/>
        <v>15651.144</v>
      </c>
      <c r="DF20" s="27">
        <f t="shared" si="64"/>
        <v>16843.356000000003</v>
      </c>
      <c r="DG20" s="27">
        <f t="shared" si="64"/>
        <v>18146.124</v>
      </c>
      <c r="DH20" s="27">
        <f t="shared" si="64"/>
        <v>18642.132000000001</v>
      </c>
      <c r="DI20" s="27">
        <f>$CI$20*12*DI38</f>
        <v>15086.412</v>
      </c>
      <c r="DJ20" s="27">
        <f t="shared" si="64"/>
        <v>16401.132000000001</v>
      </c>
      <c r="DK20" s="41">
        <v>2.4900000000000002</v>
      </c>
      <c r="DL20" s="27">
        <f>$CI$20*12*DL38</f>
        <v>14638.212000000001</v>
      </c>
      <c r="DM20" s="41">
        <v>2.4900000000000002</v>
      </c>
      <c r="DN20" s="27">
        <f>$CI$20*12*DN38</f>
        <v>16568.460000000003</v>
      </c>
      <c r="DO20" s="41">
        <v>2.4900000000000002</v>
      </c>
      <c r="DP20" s="27">
        <f>$CI$20*12*DP38</f>
        <v>15095.376</v>
      </c>
      <c r="DQ20" s="41">
        <v>2.4900000000000002</v>
      </c>
      <c r="DR20" s="27">
        <f>$CI$20*12*DR38</f>
        <v>15214.896000000001</v>
      </c>
      <c r="DS20" s="41">
        <v>2.4900000000000002</v>
      </c>
      <c r="DT20" s="27">
        <f>$CI$20*12*DT38</f>
        <v>29703.708000000002</v>
      </c>
      <c r="DU20" s="41">
        <v>2.4900000000000002</v>
      </c>
      <c r="DV20" s="27">
        <f>$CI$20*12*DV38</f>
        <v>16998.732</v>
      </c>
      <c r="DW20" s="41">
        <v>2.4900000000000002</v>
      </c>
      <c r="DX20" s="27">
        <f>$CI$20*12*DX38</f>
        <v>13481.856000000002</v>
      </c>
      <c r="DY20" s="41">
        <v>2.4900000000000002</v>
      </c>
      <c r="DZ20" s="27">
        <f>$CI$20*12*DZ38</f>
        <v>13574.484000000002</v>
      </c>
      <c r="EA20" s="41">
        <v>2.4900000000000002</v>
      </c>
      <c r="EB20" s="27">
        <f>$CI$20*12*EB38</f>
        <v>13944.996000000001</v>
      </c>
      <c r="EC20" s="41">
        <v>2.4900000000000002</v>
      </c>
      <c r="ED20" s="27">
        <f>$CI$20*12*ED38</f>
        <v>15949.944</v>
      </c>
      <c r="EE20" s="41">
        <v>2.4900000000000002</v>
      </c>
      <c r="EF20" s="27">
        <f>$CI$20*12*EF38</f>
        <v>14007.744000000002</v>
      </c>
      <c r="EG20" s="41">
        <v>2.4900000000000002</v>
      </c>
      <c r="EH20" s="27">
        <f>$CI$20*12*EH38</f>
        <v>15418.080000000002</v>
      </c>
      <c r="EI20" s="41">
        <v>2.4900000000000002</v>
      </c>
      <c r="EJ20" s="27">
        <f>$CI$20*12*EJ38</f>
        <v>16885.188000000002</v>
      </c>
      <c r="EK20" s="123" t="s">
        <v>111</v>
      </c>
      <c r="EL20" s="40" t="s">
        <v>126</v>
      </c>
      <c r="EM20" s="41">
        <v>2.4900000000000002</v>
      </c>
      <c r="EN20" s="27">
        <f>$EM$20*12*EN38</f>
        <v>14638.212000000001</v>
      </c>
      <c r="EO20" s="27">
        <f>$EM$20*12*EO38</f>
        <v>13980.852000000001</v>
      </c>
      <c r="EP20" s="27">
        <f>$EM$20*12*EP38</f>
        <v>14638.212000000001</v>
      </c>
      <c r="EQ20" s="41">
        <v>2.4900000000000002</v>
      </c>
      <c r="ER20" s="27">
        <f>$EM$20*12*ER38</f>
        <v>13921.092000000001</v>
      </c>
      <c r="ES20" s="123" t="s">
        <v>139</v>
      </c>
      <c r="ET20" s="40" t="s">
        <v>140</v>
      </c>
      <c r="EU20" s="41">
        <v>3.34</v>
      </c>
      <c r="EV20" s="27">
        <f>$EU$20*12*EV38</f>
        <v>18272.471999999998</v>
      </c>
      <c r="EW20" s="54">
        <f>$EU$20*12*EW38</f>
        <v>16665.263999999999</v>
      </c>
      <c r="EX20" s="54">
        <f>$EU$20*12*EX38</f>
        <v>18669.263999999999</v>
      </c>
      <c r="EY20" s="61" t="s">
        <v>220</v>
      </c>
      <c r="EZ20" s="124" t="s">
        <v>163</v>
      </c>
      <c r="FA20" s="130">
        <v>0.17</v>
      </c>
      <c r="FB20" s="113">
        <f>0.17*12*FB38</f>
        <v>8050.4520000000002</v>
      </c>
      <c r="FC20" s="113">
        <f>0.17*12*FC38</f>
        <v>4710.768</v>
      </c>
      <c r="FD20" s="113">
        <f>0.17*12*FD38</f>
        <v>4504.116</v>
      </c>
      <c r="FE20" s="88">
        <v>0.11</v>
      </c>
      <c r="FF20" s="89">
        <f>0.11*12*FF38</f>
        <v>4970.3280000000004</v>
      </c>
      <c r="FG20" s="88">
        <v>0.11</v>
      </c>
      <c r="FH20" s="113">
        <f>0.11*12*FH38</f>
        <v>4768.2360000000008</v>
      </c>
      <c r="FI20" s="131"/>
      <c r="FJ20" s="131"/>
      <c r="FK20" s="2"/>
    </row>
    <row r="21" spans="1:169" s="28" customFormat="1" ht="27.75" customHeight="1" x14ac:dyDescent="0.2">
      <c r="A21" s="32" t="s">
        <v>194</v>
      </c>
      <c r="B21" s="40" t="s">
        <v>195</v>
      </c>
      <c r="C21" s="41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41">
        <v>1.82</v>
      </c>
      <c r="BQ21" s="27">
        <f>BP21*12*BQ38</f>
        <v>10647</v>
      </c>
      <c r="BR21" s="32" t="s">
        <v>194</v>
      </c>
      <c r="BS21" s="40" t="s">
        <v>195</v>
      </c>
      <c r="BT21" s="41"/>
      <c r="BU21" s="27"/>
      <c r="BV21" s="27"/>
      <c r="BW21" s="27"/>
      <c r="BX21" s="27"/>
      <c r="BY21" s="123" t="s">
        <v>141</v>
      </c>
      <c r="BZ21" s="41" t="s">
        <v>3</v>
      </c>
      <c r="CA21" s="41">
        <v>4.04</v>
      </c>
      <c r="CB21" s="27">
        <f>$CA$21*12*CB38</f>
        <v>22029.312000000002</v>
      </c>
      <c r="CC21" s="27">
        <f>$CA$21*12*CC38</f>
        <v>22407.456000000002</v>
      </c>
      <c r="CD21" s="27">
        <f>$CA$21*12*CD38</f>
        <v>22926.191999999999</v>
      </c>
      <c r="CE21" s="27">
        <f>$CA$21*12*CE38</f>
        <v>22184.448000000004</v>
      </c>
      <c r="CF21" s="27">
        <f>$CA$21*12*CF38</f>
        <v>22436.544000000002</v>
      </c>
      <c r="CG21" s="32" t="s">
        <v>194</v>
      </c>
      <c r="CH21" s="40" t="s">
        <v>195</v>
      </c>
      <c r="CI21" s="41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41">
        <v>0.55000000000000004</v>
      </c>
      <c r="DL21" s="27">
        <f>DK21*12*DL38</f>
        <v>3233.34</v>
      </c>
      <c r="DM21" s="41">
        <v>0.44</v>
      </c>
      <c r="DN21" s="27">
        <f>DM21*12*DN38</f>
        <v>2927.76</v>
      </c>
      <c r="DO21" s="41">
        <v>1.0900000000000001</v>
      </c>
      <c r="DP21" s="27">
        <f>DO21*12*DP38</f>
        <v>6608.0160000000005</v>
      </c>
      <c r="DQ21" s="41">
        <v>1.3</v>
      </c>
      <c r="DR21" s="27">
        <f>DQ21*12*DR38</f>
        <v>7943.52</v>
      </c>
      <c r="DS21" s="41">
        <v>1.36</v>
      </c>
      <c r="DT21" s="27">
        <f>DS21*12*DT38</f>
        <v>16223.712000000001</v>
      </c>
      <c r="DU21" s="41">
        <v>0.99</v>
      </c>
      <c r="DV21" s="27">
        <f>DU21*12*DV38</f>
        <v>6758.5319999999992</v>
      </c>
      <c r="DW21" s="41">
        <v>1.52</v>
      </c>
      <c r="DX21" s="27">
        <f>DW21*12*DX38</f>
        <v>8229.8880000000008</v>
      </c>
      <c r="DY21" s="41">
        <v>0.62</v>
      </c>
      <c r="DZ21" s="27">
        <f>DY21*12*DZ38</f>
        <v>3379.9919999999997</v>
      </c>
      <c r="EA21" s="41">
        <v>0.31</v>
      </c>
      <c r="EB21" s="27">
        <f>EA21*12*EB38</f>
        <v>1736.1239999999998</v>
      </c>
      <c r="EC21" s="41">
        <v>1.65</v>
      </c>
      <c r="ED21" s="27">
        <f>EC21*12*ED38</f>
        <v>10569.239999999998</v>
      </c>
      <c r="EE21" s="41">
        <v>2.5499999999999998</v>
      </c>
      <c r="EF21" s="27">
        <f>EE21*12*EF38</f>
        <v>14345.279999999999</v>
      </c>
      <c r="EG21" s="41">
        <v>0.76</v>
      </c>
      <c r="EH21" s="27">
        <f>EG21*12*EH38</f>
        <v>4705.92</v>
      </c>
      <c r="EI21" s="41">
        <v>0.56000000000000005</v>
      </c>
      <c r="EJ21" s="27">
        <f>EI21*12*EJ38</f>
        <v>3797.4720000000007</v>
      </c>
      <c r="EK21" s="32" t="s">
        <v>194</v>
      </c>
      <c r="EL21" s="40" t="s">
        <v>195</v>
      </c>
      <c r="EM21" s="41"/>
      <c r="EN21" s="27"/>
      <c r="EO21" s="27"/>
      <c r="EP21" s="27"/>
      <c r="EQ21" s="41">
        <v>0.93</v>
      </c>
      <c r="ER21" s="27">
        <f>EQ21*12*ER38</f>
        <v>5199.4439999999995</v>
      </c>
      <c r="ES21" s="123" t="s">
        <v>141</v>
      </c>
      <c r="ET21" s="41" t="s">
        <v>3</v>
      </c>
      <c r="EU21" s="41">
        <v>4.04</v>
      </c>
      <c r="EV21" s="27">
        <f>$EU$21*EV38*12</f>
        <v>22102.031999999999</v>
      </c>
      <c r="EW21" s="54">
        <f>$EU$21*EW38*12</f>
        <v>20157.984</v>
      </c>
      <c r="EX21" s="54">
        <f>$EU$21*EX38*12</f>
        <v>22581.984</v>
      </c>
      <c r="EY21" s="61" t="s">
        <v>221</v>
      </c>
      <c r="EZ21" s="132" t="s">
        <v>9</v>
      </c>
      <c r="FA21" s="130">
        <v>0.54</v>
      </c>
      <c r="FB21" s="113">
        <f>0.54*12*FB38</f>
        <v>25572.024000000001</v>
      </c>
      <c r="FC21" s="113">
        <f>0.54*12*FC38</f>
        <v>14963.616</v>
      </c>
      <c r="FD21" s="113">
        <f>0.54*12*FD38</f>
        <v>14307.192000000001</v>
      </c>
      <c r="FE21" s="88">
        <v>0.7</v>
      </c>
      <c r="FF21" s="89">
        <f>0.7*12*FF38</f>
        <v>31629.359999999997</v>
      </c>
      <c r="FG21" s="88">
        <f>0.7+0.36</f>
        <v>1.06</v>
      </c>
      <c r="FH21" s="113">
        <f>1.06*12*FH38</f>
        <v>45948.456000000006</v>
      </c>
      <c r="FI21" s="131"/>
      <c r="FJ21" s="131"/>
      <c r="FK21" s="2"/>
    </row>
    <row r="22" spans="1:169" s="28" customFormat="1" ht="12.75" customHeight="1" x14ac:dyDescent="0.2">
      <c r="A22" s="35"/>
      <c r="B22" s="40"/>
      <c r="C22" s="41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41"/>
      <c r="BQ22" s="27"/>
      <c r="BR22" s="133"/>
      <c r="BS22" s="41"/>
      <c r="BT22" s="41"/>
      <c r="BU22" s="27"/>
      <c r="BV22" s="27"/>
      <c r="BW22" s="27"/>
      <c r="BX22" s="27"/>
      <c r="BY22" s="32" t="s">
        <v>206</v>
      </c>
      <c r="BZ22" s="40" t="s">
        <v>195</v>
      </c>
      <c r="CA22" s="41"/>
      <c r="CB22" s="27"/>
      <c r="CC22" s="27"/>
      <c r="CD22" s="27"/>
      <c r="CE22" s="27"/>
      <c r="CF22" s="27"/>
      <c r="CG22" s="133"/>
      <c r="CH22" s="41"/>
      <c r="CI22" s="41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41"/>
      <c r="DL22" s="27"/>
      <c r="DM22" s="41"/>
      <c r="DN22" s="27"/>
      <c r="DO22" s="41"/>
      <c r="DP22" s="27"/>
      <c r="DQ22" s="41"/>
      <c r="DR22" s="27"/>
      <c r="DS22" s="41"/>
      <c r="DT22" s="27"/>
      <c r="DU22" s="41"/>
      <c r="DV22" s="27"/>
      <c r="DW22" s="41"/>
      <c r="DX22" s="27"/>
      <c r="DY22" s="41"/>
      <c r="DZ22" s="27"/>
      <c r="EA22" s="41"/>
      <c r="EB22" s="27"/>
      <c r="EC22" s="41"/>
      <c r="ED22" s="27"/>
      <c r="EE22" s="41"/>
      <c r="EF22" s="27"/>
      <c r="EG22" s="41"/>
      <c r="EH22" s="27"/>
      <c r="EI22" s="41"/>
      <c r="EJ22" s="27"/>
      <c r="EK22" s="133"/>
      <c r="EL22" s="41"/>
      <c r="EM22" s="41"/>
      <c r="EN22" s="27"/>
      <c r="EO22" s="27"/>
      <c r="EP22" s="27"/>
      <c r="EQ22" s="41"/>
      <c r="ER22" s="27"/>
      <c r="ES22" s="133"/>
      <c r="ET22" s="41"/>
      <c r="EU22" s="41"/>
      <c r="EV22" s="27"/>
      <c r="EW22" s="54"/>
      <c r="EX22" s="54"/>
      <c r="EY22" s="61" t="s">
        <v>222</v>
      </c>
      <c r="EZ22" s="124" t="s">
        <v>10</v>
      </c>
      <c r="FA22" s="130">
        <v>2.48</v>
      </c>
      <c r="FB22" s="113">
        <f>2.48*12*FB38</f>
        <v>117441.88799999999</v>
      </c>
      <c r="FC22" s="113">
        <f>2.48*12*FC38</f>
        <v>68721.791999999987</v>
      </c>
      <c r="FD22" s="113">
        <f>2.48*12*FD38</f>
        <v>65707.103999999992</v>
      </c>
      <c r="FE22" s="88">
        <v>2.4500000000000002</v>
      </c>
      <c r="FF22" s="89">
        <f>2.45*12*FF38</f>
        <v>110702.76000000001</v>
      </c>
      <c r="FG22" s="88">
        <v>2.4500000000000002</v>
      </c>
      <c r="FH22" s="113">
        <f>2.45*12*FH38</f>
        <v>106201.62000000001</v>
      </c>
      <c r="FI22" s="131"/>
      <c r="FJ22" s="131"/>
      <c r="FK22" s="2"/>
    </row>
    <row r="23" spans="1:169" s="28" customFormat="1" ht="12.75" customHeight="1" x14ac:dyDescent="0.2">
      <c r="A23" s="35"/>
      <c r="B23" s="40"/>
      <c r="C23" s="41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41"/>
      <c r="BQ23" s="27"/>
      <c r="BR23" s="133"/>
      <c r="BS23" s="41"/>
      <c r="BT23" s="41"/>
      <c r="BU23" s="27"/>
      <c r="BV23" s="27"/>
      <c r="BW23" s="27"/>
      <c r="BX23" s="27"/>
      <c r="BY23" s="35"/>
      <c r="BZ23" s="40"/>
      <c r="CA23" s="41"/>
      <c r="CB23" s="27"/>
      <c r="CC23" s="27"/>
      <c r="CD23" s="27"/>
      <c r="CE23" s="27"/>
      <c r="CF23" s="27"/>
      <c r="CG23" s="133"/>
      <c r="CH23" s="41"/>
      <c r="CI23" s="41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41"/>
      <c r="DL23" s="27"/>
      <c r="DM23" s="41"/>
      <c r="DN23" s="27"/>
      <c r="DO23" s="41"/>
      <c r="DP23" s="27"/>
      <c r="DQ23" s="41"/>
      <c r="DR23" s="27"/>
      <c r="DS23" s="41"/>
      <c r="DT23" s="27"/>
      <c r="DU23" s="41"/>
      <c r="DV23" s="27"/>
      <c r="DW23" s="41"/>
      <c r="DX23" s="27"/>
      <c r="DY23" s="41"/>
      <c r="DZ23" s="27"/>
      <c r="EA23" s="41"/>
      <c r="EB23" s="27"/>
      <c r="EC23" s="41"/>
      <c r="ED23" s="27"/>
      <c r="EE23" s="41"/>
      <c r="EF23" s="27"/>
      <c r="EG23" s="41"/>
      <c r="EH23" s="27"/>
      <c r="EI23" s="41"/>
      <c r="EJ23" s="27"/>
      <c r="EK23" s="133"/>
      <c r="EL23" s="41"/>
      <c r="EM23" s="41"/>
      <c r="EN23" s="27"/>
      <c r="EO23" s="27"/>
      <c r="EP23" s="27"/>
      <c r="EQ23" s="41"/>
      <c r="ER23" s="27"/>
      <c r="ES23" s="133"/>
      <c r="ET23" s="41"/>
      <c r="EU23" s="41"/>
      <c r="EV23" s="27"/>
      <c r="EW23" s="54"/>
      <c r="EX23" s="54"/>
      <c r="EY23" s="32" t="s">
        <v>223</v>
      </c>
      <c r="EZ23" s="40" t="s">
        <v>195</v>
      </c>
      <c r="FA23" s="130"/>
      <c r="FB23" s="116"/>
      <c r="FC23" s="116"/>
      <c r="FD23" s="116"/>
      <c r="FE23" s="88"/>
      <c r="FF23" s="117"/>
      <c r="FG23" s="88">
        <v>0.06</v>
      </c>
      <c r="FH23" s="113">
        <f>FG23*12*FH38</f>
        <v>2600.8560000000002</v>
      </c>
      <c r="FI23" s="131"/>
      <c r="FJ23" s="131"/>
      <c r="FK23" s="2"/>
    </row>
    <row r="24" spans="1:169" s="28" customFormat="1" ht="12.75" customHeight="1" x14ac:dyDescent="0.2">
      <c r="A24" s="35"/>
      <c r="B24" s="40"/>
      <c r="C24" s="41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41"/>
      <c r="BQ24" s="27"/>
      <c r="BR24" s="133"/>
      <c r="BS24" s="41"/>
      <c r="BT24" s="41"/>
      <c r="BU24" s="27"/>
      <c r="BV24" s="27"/>
      <c r="BW24" s="27"/>
      <c r="BX24" s="27"/>
      <c r="BY24" s="133"/>
      <c r="BZ24" s="41"/>
      <c r="CA24" s="41"/>
      <c r="CB24" s="27"/>
      <c r="CC24" s="27"/>
      <c r="CD24" s="27"/>
      <c r="CE24" s="27"/>
      <c r="CF24" s="27"/>
      <c r="CG24" s="133"/>
      <c r="CH24" s="41"/>
      <c r="CI24" s="41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41"/>
      <c r="DL24" s="27"/>
      <c r="DM24" s="41"/>
      <c r="DN24" s="27"/>
      <c r="DO24" s="41"/>
      <c r="DP24" s="27"/>
      <c r="DQ24" s="41"/>
      <c r="DR24" s="27"/>
      <c r="DS24" s="41"/>
      <c r="DT24" s="27"/>
      <c r="DU24" s="41"/>
      <c r="DV24" s="27"/>
      <c r="DW24" s="41"/>
      <c r="DX24" s="27"/>
      <c r="DY24" s="41"/>
      <c r="DZ24" s="27"/>
      <c r="EA24" s="41"/>
      <c r="EB24" s="27"/>
      <c r="EC24" s="41"/>
      <c r="ED24" s="27"/>
      <c r="EE24" s="41"/>
      <c r="EF24" s="27"/>
      <c r="EG24" s="41"/>
      <c r="EH24" s="27"/>
      <c r="EI24" s="41"/>
      <c r="EJ24" s="27"/>
      <c r="EK24" s="133"/>
      <c r="EL24" s="41"/>
      <c r="EM24" s="41"/>
      <c r="EN24" s="27"/>
      <c r="EO24" s="27"/>
      <c r="EP24" s="27"/>
      <c r="EQ24" s="41"/>
      <c r="ER24" s="27"/>
      <c r="ES24" s="133"/>
      <c r="ET24" s="41"/>
      <c r="EU24" s="41"/>
      <c r="EV24" s="27"/>
      <c r="EW24" s="54"/>
      <c r="EX24" s="54"/>
      <c r="EY24" s="59" t="s">
        <v>8</v>
      </c>
      <c r="EZ24" s="124"/>
      <c r="FA24" s="87">
        <f t="shared" ref="FA24:FH24" si="65">SUM(FA25:FA28)</f>
        <v>3.54</v>
      </c>
      <c r="FB24" s="84">
        <f t="shared" si="65"/>
        <v>167638.82400000002</v>
      </c>
      <c r="FC24" s="84">
        <f t="shared" si="65"/>
        <v>98094.816000000006</v>
      </c>
      <c r="FD24" s="84">
        <f t="shared" si="65"/>
        <v>93791.592000000004</v>
      </c>
      <c r="FE24" s="87">
        <f t="shared" si="65"/>
        <v>3.08</v>
      </c>
      <c r="FF24" s="84">
        <f t="shared" si="65"/>
        <v>139169.18400000001</v>
      </c>
      <c r="FG24" s="87">
        <f t="shared" ref="FG24" si="66">SUM(FG25:FG28)</f>
        <v>3.08</v>
      </c>
      <c r="FH24" s="119">
        <f t="shared" si="65"/>
        <v>133510.60800000001</v>
      </c>
      <c r="FI24" s="129"/>
      <c r="FJ24" s="129"/>
      <c r="FK24" s="2"/>
    </row>
    <row r="25" spans="1:169" s="28" customFormat="1" ht="27" customHeight="1" x14ac:dyDescent="0.2">
      <c r="A25" s="33" t="s">
        <v>8</v>
      </c>
      <c r="B25" s="40"/>
      <c r="C25" s="36">
        <f>SUM(C26:C28)</f>
        <v>2.1399999999999997</v>
      </c>
      <c r="D25" s="127">
        <f>SUM(D26:D28)</f>
        <v>12393.167999999998</v>
      </c>
      <c r="E25" s="127">
        <f t="shared" ref="E25:BC25" si="67">SUM(E26:E28)</f>
        <v>15179.448</v>
      </c>
      <c r="F25" s="127">
        <f t="shared" si="67"/>
        <v>11846.183999999999</v>
      </c>
      <c r="G25" s="127">
        <f t="shared" si="67"/>
        <v>10965.36</v>
      </c>
      <c r="H25" s="127">
        <f t="shared" si="67"/>
        <v>35014.679999999993</v>
      </c>
      <c r="I25" s="127">
        <f t="shared" si="67"/>
        <v>14966.303999999998</v>
      </c>
      <c r="J25" s="127">
        <f t="shared" si="67"/>
        <v>14907.239999999998</v>
      </c>
      <c r="K25" s="127">
        <f t="shared" si="67"/>
        <v>14180.496000000001</v>
      </c>
      <c r="L25" s="127">
        <f t="shared" si="67"/>
        <v>14493.791999999998</v>
      </c>
      <c r="M25" s="127">
        <f t="shared" si="67"/>
        <v>15492.743999999999</v>
      </c>
      <c r="N25" s="127">
        <f t="shared" si="67"/>
        <v>8885.2799999999988</v>
      </c>
      <c r="O25" s="127">
        <f t="shared" si="67"/>
        <v>20775.12</v>
      </c>
      <c r="P25" s="127">
        <f t="shared" si="67"/>
        <v>14891.831999999999</v>
      </c>
      <c r="Q25" s="127">
        <f t="shared" si="67"/>
        <v>11938.631999999998</v>
      </c>
      <c r="R25" s="127">
        <f t="shared" si="67"/>
        <v>13430.64</v>
      </c>
      <c r="S25" s="127">
        <f t="shared" si="67"/>
        <v>18702.743999999995</v>
      </c>
      <c r="T25" s="127">
        <f t="shared" ref="T25" si="68">SUM(T26:T28)</f>
        <v>15364.343999999997</v>
      </c>
      <c r="U25" s="127">
        <f t="shared" si="67"/>
        <v>11746.031999999999</v>
      </c>
      <c r="V25" s="127">
        <f t="shared" si="67"/>
        <v>12205.703999999998</v>
      </c>
      <c r="W25" s="127">
        <f t="shared" si="67"/>
        <v>11825.64</v>
      </c>
      <c r="X25" s="127">
        <f t="shared" si="67"/>
        <v>18718.151999999995</v>
      </c>
      <c r="Y25" s="127">
        <f t="shared" si="67"/>
        <v>11882.135999999999</v>
      </c>
      <c r="Z25" s="127">
        <f t="shared" ref="Z25" si="69">SUM(Z26:Z28)</f>
        <v>11707.511999999999</v>
      </c>
      <c r="AA25" s="127">
        <f t="shared" si="67"/>
        <v>13263.72</v>
      </c>
      <c r="AB25" s="127">
        <f t="shared" si="67"/>
        <v>13273.991999999998</v>
      </c>
      <c r="AC25" s="127">
        <f t="shared" si="67"/>
        <v>13189.248</v>
      </c>
      <c r="AD25" s="127">
        <f t="shared" si="67"/>
        <v>12133.8</v>
      </c>
      <c r="AE25" s="127">
        <f t="shared" si="67"/>
        <v>12246.791999999998</v>
      </c>
      <c r="AF25" s="127">
        <f t="shared" si="67"/>
        <v>12393.167999999998</v>
      </c>
      <c r="AG25" s="127">
        <f t="shared" si="67"/>
        <v>12167.183999999999</v>
      </c>
      <c r="AH25" s="127">
        <f t="shared" si="67"/>
        <v>13315.079999999998</v>
      </c>
      <c r="AI25" s="127">
        <f t="shared" si="67"/>
        <v>14475.816000000001</v>
      </c>
      <c r="AJ25" s="127">
        <f t="shared" si="67"/>
        <v>12370.055999999997</v>
      </c>
      <c r="AK25" s="127">
        <f t="shared" si="67"/>
        <v>22513.655999999999</v>
      </c>
      <c r="AL25" s="127">
        <f t="shared" si="67"/>
        <v>12198</v>
      </c>
      <c r="AM25" s="127">
        <f t="shared" si="67"/>
        <v>11707.511999999999</v>
      </c>
      <c r="AN25" s="127">
        <f t="shared" si="67"/>
        <v>11014.151999999998</v>
      </c>
      <c r="AO25" s="127">
        <f t="shared" si="67"/>
        <v>18687.335999999999</v>
      </c>
      <c r="AP25" s="127">
        <f t="shared" si="67"/>
        <v>10772.759999999998</v>
      </c>
      <c r="AQ25" s="127">
        <f t="shared" si="67"/>
        <v>15289.871999999999</v>
      </c>
      <c r="AR25" s="127">
        <f t="shared" si="67"/>
        <v>19000.631999999998</v>
      </c>
      <c r="AS25" s="127">
        <f t="shared" si="67"/>
        <v>25022.591999999997</v>
      </c>
      <c r="AT25" s="127">
        <f t="shared" si="67"/>
        <v>14593.943999999996</v>
      </c>
      <c r="AU25" s="127">
        <f t="shared" si="67"/>
        <v>17048.951999999997</v>
      </c>
      <c r="AV25" s="127">
        <f t="shared" si="67"/>
        <v>13646.351999999999</v>
      </c>
      <c r="AW25" s="127">
        <f t="shared" si="67"/>
        <v>10829.255999999998</v>
      </c>
      <c r="AX25" s="127">
        <f t="shared" si="67"/>
        <v>12156.911999999998</v>
      </c>
      <c r="AY25" s="127">
        <f t="shared" si="67"/>
        <v>13962.216</v>
      </c>
      <c r="AZ25" s="127">
        <f t="shared" si="67"/>
        <v>13273.991999999998</v>
      </c>
      <c r="BA25" s="127">
        <f t="shared" si="67"/>
        <v>15071.591999999999</v>
      </c>
      <c r="BB25" s="127">
        <f t="shared" si="67"/>
        <v>11229.864</v>
      </c>
      <c r="BC25" s="127">
        <f t="shared" si="67"/>
        <v>11073.215999999999</v>
      </c>
      <c r="BD25" s="127">
        <f t="shared" ref="BD25:BH25" si="70">SUM(BD26:BD28)</f>
        <v>13497.407999999999</v>
      </c>
      <c r="BE25" s="127">
        <f t="shared" si="70"/>
        <v>13024.895999999999</v>
      </c>
      <c r="BF25" s="127">
        <f t="shared" si="70"/>
        <v>12786.071999999998</v>
      </c>
      <c r="BG25" s="127">
        <f t="shared" si="70"/>
        <v>11440.439999999999</v>
      </c>
      <c r="BH25" s="127">
        <f t="shared" si="70"/>
        <v>11060.375999999998</v>
      </c>
      <c r="BI25" s="127">
        <f t="shared" ref="BI25:BO25" si="71">SUM(BI26:BI28)</f>
        <v>13790.159999999998</v>
      </c>
      <c r="BJ25" s="127">
        <f t="shared" si="71"/>
        <v>13772.183999999997</v>
      </c>
      <c r="BK25" s="127">
        <f t="shared" si="71"/>
        <v>12177.455999999998</v>
      </c>
      <c r="BL25" s="127">
        <f t="shared" si="71"/>
        <v>18905.616000000002</v>
      </c>
      <c r="BM25" s="127">
        <f t="shared" si="71"/>
        <v>18936.431999999997</v>
      </c>
      <c r="BN25" s="127">
        <f t="shared" ref="BN25" si="72">SUM(BN26:BN28)</f>
        <v>11889.84</v>
      </c>
      <c r="BO25" s="127">
        <f t="shared" si="71"/>
        <v>14339.712</v>
      </c>
      <c r="BP25" s="36">
        <f>SUM(BP26:BP28)</f>
        <v>2.1399999999999997</v>
      </c>
      <c r="BQ25" s="127">
        <f>SUM(BQ26:BQ28)</f>
        <v>12519</v>
      </c>
      <c r="BR25" s="33" t="s">
        <v>8</v>
      </c>
      <c r="BS25" s="41"/>
      <c r="BT25" s="36">
        <f>SUM(BT26:BT28)</f>
        <v>4.93</v>
      </c>
      <c r="BU25" s="127">
        <f t="shared" ref="BU25:BX25" si="73">SUM(BU26:BU28)</f>
        <v>26971.044000000002</v>
      </c>
      <c r="BV25" s="127">
        <f t="shared" si="73"/>
        <v>27201.768</v>
      </c>
      <c r="BW25" s="127">
        <f t="shared" si="73"/>
        <v>30597.552000000003</v>
      </c>
      <c r="BX25" s="127">
        <f t="shared" si="73"/>
        <v>30532.476000000002</v>
      </c>
      <c r="BY25" s="33" t="s">
        <v>8</v>
      </c>
      <c r="BZ25" s="41"/>
      <c r="CA25" s="36">
        <f>SUM(CA26:CA28)</f>
        <v>3.36</v>
      </c>
      <c r="CB25" s="127">
        <f>SUM(CB26:CB28)</f>
        <v>18321.407999999999</v>
      </c>
      <c r="CC25" s="127">
        <f t="shared" ref="CC25:CF25" si="74">SUM(CC26:CC28)</f>
        <v>18635.904000000002</v>
      </c>
      <c r="CD25" s="127">
        <f t="shared" si="74"/>
        <v>19067.328000000001</v>
      </c>
      <c r="CE25" s="127">
        <f t="shared" si="74"/>
        <v>18450.432000000001</v>
      </c>
      <c r="CF25" s="127">
        <f t="shared" si="74"/>
        <v>18660.095999999998</v>
      </c>
      <c r="CG25" s="33" t="s">
        <v>8</v>
      </c>
      <c r="CH25" s="41"/>
      <c r="CI25" s="36">
        <f>SUM(CI26:CI28)</f>
        <v>2.1399999999999997</v>
      </c>
      <c r="CJ25" s="127">
        <f t="shared" ref="CJ25:CS25" si="75">SUM(CJ26:CJ28)</f>
        <v>11504.64</v>
      </c>
      <c r="CK25" s="127">
        <f t="shared" si="75"/>
        <v>14509.199999999999</v>
      </c>
      <c r="CL25" s="127">
        <f t="shared" si="75"/>
        <v>14537.448</v>
      </c>
      <c r="CM25" s="127">
        <f t="shared" si="75"/>
        <v>12323.831999999999</v>
      </c>
      <c r="CN25" s="127">
        <f t="shared" si="75"/>
        <v>14311.463999999998</v>
      </c>
      <c r="CO25" s="127">
        <f t="shared" si="75"/>
        <v>18474.191999999995</v>
      </c>
      <c r="CP25" s="127">
        <f t="shared" si="75"/>
        <v>12310.991999999998</v>
      </c>
      <c r="CQ25" s="127">
        <f t="shared" si="75"/>
        <v>11874.431999999999</v>
      </c>
      <c r="CR25" s="127">
        <f t="shared" si="75"/>
        <v>10795.871999999998</v>
      </c>
      <c r="CS25" s="127">
        <f t="shared" si="75"/>
        <v>22755.047999999999</v>
      </c>
      <c r="CT25" s="127">
        <f t="shared" ref="CT25:DF25" si="76">SUM(CT26:CT28)</f>
        <v>18579.48</v>
      </c>
      <c r="CU25" s="127">
        <f t="shared" si="76"/>
        <v>14457.839999999997</v>
      </c>
      <c r="CV25" s="127">
        <f t="shared" si="76"/>
        <v>14789.111999999997</v>
      </c>
      <c r="CW25" s="127">
        <f t="shared" si="76"/>
        <v>8895.5519999999997</v>
      </c>
      <c r="CX25" s="127">
        <f t="shared" si="76"/>
        <v>15646.823999999997</v>
      </c>
      <c r="CY25" s="127">
        <f t="shared" si="76"/>
        <v>14198.471999999998</v>
      </c>
      <c r="CZ25" s="127">
        <f t="shared" si="76"/>
        <v>12940.151999999998</v>
      </c>
      <c r="DA25" s="127">
        <f t="shared" si="76"/>
        <v>13006.919999999998</v>
      </c>
      <c r="DB25" s="127">
        <f t="shared" si="76"/>
        <v>13523.088</v>
      </c>
      <c r="DC25" s="127">
        <f t="shared" si="76"/>
        <v>11889.84</v>
      </c>
      <c r="DD25" s="127">
        <f t="shared" si="76"/>
        <v>13312.511999999999</v>
      </c>
      <c r="DE25" s="127">
        <f t="shared" si="76"/>
        <v>13451.183999999997</v>
      </c>
      <c r="DF25" s="127">
        <f t="shared" si="76"/>
        <v>14475.816000000001</v>
      </c>
      <c r="DG25" s="127">
        <f>SUM(DG26:DG28)</f>
        <v>15595.463999999998</v>
      </c>
      <c r="DH25" s="127">
        <f t="shared" ref="DH25:DU25" si="77">SUM(DH26:DH28)</f>
        <v>16021.751999999997</v>
      </c>
      <c r="DI25" s="127">
        <f>SUM(DI26:DI28)</f>
        <v>12965.831999999999</v>
      </c>
      <c r="DJ25" s="127">
        <f t="shared" si="77"/>
        <v>14095.751999999997</v>
      </c>
      <c r="DK25" s="36">
        <f t="shared" si="77"/>
        <v>2.1399999999999997</v>
      </c>
      <c r="DL25" s="127">
        <f>SUM(DL26:DL28)</f>
        <v>12580.631999999998</v>
      </c>
      <c r="DM25" s="36">
        <f t="shared" ref="DM25:DO25" si="78">SUM(DM26:DM28)</f>
        <v>2.1399999999999997</v>
      </c>
      <c r="DN25" s="127">
        <f>SUM(DN26:DN28)</f>
        <v>14239.56</v>
      </c>
      <c r="DO25" s="36">
        <f t="shared" si="78"/>
        <v>2.1399999999999997</v>
      </c>
      <c r="DP25" s="127">
        <f>SUM(DP26:DP28)</f>
        <v>12973.536</v>
      </c>
      <c r="DQ25" s="36">
        <f t="shared" ref="DQ25" si="79">SUM(DQ26:DQ28)</f>
        <v>2.1399999999999997</v>
      </c>
      <c r="DR25" s="127">
        <f>SUM(DR26:DR28)</f>
        <v>13076.255999999998</v>
      </c>
      <c r="DS25" s="36">
        <f t="shared" ref="DS25" si="80">SUM(DS26:DS28)</f>
        <v>2.1399999999999997</v>
      </c>
      <c r="DT25" s="127">
        <f>SUM(DT26:DT28)</f>
        <v>25528.487999999998</v>
      </c>
      <c r="DU25" s="36">
        <f t="shared" si="77"/>
        <v>2.1399999999999997</v>
      </c>
      <c r="DV25" s="127">
        <f>SUM(DV26:DV28)</f>
        <v>14609.351999999999</v>
      </c>
      <c r="DW25" s="36">
        <f t="shared" ref="DW25:EJ25" si="81">SUM(DW26:DW28)</f>
        <v>2.1399999999999997</v>
      </c>
      <c r="DX25" s="127">
        <f>SUM(DX26:DX28)</f>
        <v>11586.815999999999</v>
      </c>
      <c r="DY25" s="36">
        <f t="shared" si="81"/>
        <v>2.1399999999999997</v>
      </c>
      <c r="DZ25" s="127">
        <f t="shared" si="81"/>
        <v>11666.423999999999</v>
      </c>
      <c r="EA25" s="36">
        <f t="shared" si="81"/>
        <v>2.1399999999999997</v>
      </c>
      <c r="EB25" s="127">
        <f t="shared" si="81"/>
        <v>11984.856</v>
      </c>
      <c r="EC25" s="36">
        <f t="shared" si="81"/>
        <v>2.1399999999999997</v>
      </c>
      <c r="ED25" s="127">
        <f t="shared" si="81"/>
        <v>13707.983999999997</v>
      </c>
      <c r="EE25" s="36">
        <f t="shared" si="81"/>
        <v>2.1399999999999997</v>
      </c>
      <c r="EF25" s="127">
        <f t="shared" si="81"/>
        <v>12038.784</v>
      </c>
      <c r="EG25" s="36">
        <f t="shared" si="81"/>
        <v>2.1399999999999997</v>
      </c>
      <c r="EH25" s="127">
        <f t="shared" si="81"/>
        <v>13250.88</v>
      </c>
      <c r="EI25" s="36">
        <f t="shared" si="81"/>
        <v>2.1399999999999997</v>
      </c>
      <c r="EJ25" s="127">
        <f t="shared" si="81"/>
        <v>14511.768</v>
      </c>
      <c r="EK25" s="33" t="s">
        <v>8</v>
      </c>
      <c r="EL25" s="41"/>
      <c r="EM25" s="36">
        <f>SUM(EM26:EM28)</f>
        <v>3.49</v>
      </c>
      <c r="EN25" s="127">
        <f>SUM(EN26:EN28)</f>
        <v>20517.011999999999</v>
      </c>
      <c r="EO25" s="127">
        <f t="shared" ref="EO25" si="82">SUM(EO26:EO28)</f>
        <v>19595.651999999998</v>
      </c>
      <c r="EP25" s="127">
        <f t="shared" ref="EP25" si="83">SUM(EP26:EP28)</f>
        <v>20517.011999999999</v>
      </c>
      <c r="EQ25" s="36">
        <f>SUM(EQ26:EQ28)</f>
        <v>3.49</v>
      </c>
      <c r="ER25" s="127">
        <f>SUM(ER26:ER28)</f>
        <v>19511.892</v>
      </c>
      <c r="ES25" s="33" t="s">
        <v>8</v>
      </c>
      <c r="ET25" s="41"/>
      <c r="EU25" s="36">
        <f>SUM(EU26:EU28)</f>
        <v>2.66</v>
      </c>
      <c r="EV25" s="127">
        <f>SUM(EV26:EV28)</f>
        <v>14552.327999999998</v>
      </c>
      <c r="EW25" s="128">
        <f>SUM(EW26:EW28)</f>
        <v>13272.335999999999</v>
      </c>
      <c r="EX25" s="128">
        <f>SUM(EX26:EX28)</f>
        <v>14868.335999999999</v>
      </c>
      <c r="EY25" s="61" t="s">
        <v>224</v>
      </c>
      <c r="EZ25" s="132" t="s">
        <v>164</v>
      </c>
      <c r="FA25" s="130">
        <v>0.18</v>
      </c>
      <c r="FB25" s="78">
        <f>0.18*12*FB38</f>
        <v>8524.0080000000016</v>
      </c>
      <c r="FC25" s="78">
        <f>0.18*12*FC38</f>
        <v>4987.8720000000003</v>
      </c>
      <c r="FD25" s="78">
        <f>0.18*12*FD38</f>
        <v>4769.0640000000003</v>
      </c>
      <c r="FE25" s="88">
        <v>0</v>
      </c>
      <c r="FF25" s="89">
        <v>0</v>
      </c>
      <c r="FG25" s="88">
        <v>0</v>
      </c>
      <c r="FH25" s="113">
        <v>0</v>
      </c>
      <c r="FI25" s="134"/>
      <c r="FJ25" s="134"/>
      <c r="FK25" s="2"/>
    </row>
    <row r="26" spans="1:169" s="28" customFormat="1" ht="36" customHeight="1" x14ac:dyDescent="0.2">
      <c r="A26" s="32" t="s">
        <v>196</v>
      </c>
      <c r="B26" s="40" t="s">
        <v>3</v>
      </c>
      <c r="C26" s="41">
        <v>1.1299999999999999</v>
      </c>
      <c r="D26" s="27">
        <f t="shared" ref="D26:AI26" si="84">$C$26*12*D38</f>
        <v>6544.0559999999996</v>
      </c>
      <c r="E26" s="27">
        <f t="shared" si="84"/>
        <v>8015.3159999999998</v>
      </c>
      <c r="F26" s="27">
        <f t="shared" si="84"/>
        <v>6255.2279999999992</v>
      </c>
      <c r="G26" s="27">
        <f t="shared" si="84"/>
        <v>5790.12</v>
      </c>
      <c r="H26" s="27">
        <f t="shared" si="84"/>
        <v>18489.059999999998</v>
      </c>
      <c r="I26" s="27">
        <f t="shared" si="84"/>
        <v>7902.7679999999982</v>
      </c>
      <c r="J26" s="27">
        <f t="shared" si="84"/>
        <v>7871.579999999999</v>
      </c>
      <c r="K26" s="27">
        <f t="shared" si="84"/>
        <v>7487.8320000000003</v>
      </c>
      <c r="L26" s="27">
        <f t="shared" si="84"/>
        <v>7653.2639999999992</v>
      </c>
      <c r="M26" s="27">
        <f t="shared" si="84"/>
        <v>8180.7479999999987</v>
      </c>
      <c r="N26" s="27">
        <f t="shared" si="84"/>
        <v>4691.7599999999993</v>
      </c>
      <c r="O26" s="27">
        <f t="shared" si="84"/>
        <v>10970.039999999999</v>
      </c>
      <c r="P26" s="27">
        <f t="shared" si="84"/>
        <v>7863.4439999999986</v>
      </c>
      <c r="Q26" s="27">
        <f t="shared" si="84"/>
        <v>6304.043999999999</v>
      </c>
      <c r="R26" s="27">
        <f t="shared" si="84"/>
        <v>7091.8799999999992</v>
      </c>
      <c r="S26" s="27">
        <f t="shared" si="84"/>
        <v>9875.7479999999978</v>
      </c>
      <c r="T26" s="27">
        <f t="shared" si="84"/>
        <v>8112.9479999999985</v>
      </c>
      <c r="U26" s="27">
        <f t="shared" si="84"/>
        <v>6202.3439999999991</v>
      </c>
      <c r="V26" s="27">
        <f t="shared" si="84"/>
        <v>6445.0679999999993</v>
      </c>
      <c r="W26" s="27">
        <f t="shared" si="84"/>
        <v>6244.3799999999992</v>
      </c>
      <c r="X26" s="27">
        <f t="shared" si="84"/>
        <v>9883.8839999999982</v>
      </c>
      <c r="Y26" s="27">
        <f t="shared" si="84"/>
        <v>6274.2119999999995</v>
      </c>
      <c r="Z26" s="27">
        <f t="shared" si="84"/>
        <v>6182.003999999999</v>
      </c>
      <c r="AA26" s="27">
        <f t="shared" si="84"/>
        <v>7003.74</v>
      </c>
      <c r="AB26" s="27">
        <f t="shared" si="84"/>
        <v>7009.1639999999989</v>
      </c>
      <c r="AC26" s="27">
        <f t="shared" si="84"/>
        <v>6964.4159999999993</v>
      </c>
      <c r="AD26" s="27">
        <f t="shared" si="84"/>
        <v>6407.0999999999995</v>
      </c>
      <c r="AE26" s="27">
        <f t="shared" si="84"/>
        <v>6466.7639999999992</v>
      </c>
      <c r="AF26" s="27">
        <f t="shared" si="84"/>
        <v>6544.0559999999996</v>
      </c>
      <c r="AG26" s="27">
        <f t="shared" si="84"/>
        <v>6424.7279999999992</v>
      </c>
      <c r="AH26" s="27">
        <f t="shared" si="84"/>
        <v>7030.86</v>
      </c>
      <c r="AI26" s="27">
        <f t="shared" si="84"/>
        <v>7643.7719999999999</v>
      </c>
      <c r="AJ26" s="27">
        <f t="shared" ref="AJ26:BO26" si="85">$C$26*12*AJ38</f>
        <v>6531.851999999999</v>
      </c>
      <c r="AK26" s="27">
        <f t="shared" si="85"/>
        <v>11888.052</v>
      </c>
      <c r="AL26" s="27">
        <f t="shared" si="85"/>
        <v>6440.9999999999991</v>
      </c>
      <c r="AM26" s="27">
        <f t="shared" si="85"/>
        <v>6182.003999999999</v>
      </c>
      <c r="AN26" s="27">
        <f t="shared" si="85"/>
        <v>5815.8839999999991</v>
      </c>
      <c r="AO26" s="27">
        <f t="shared" si="85"/>
        <v>9867.6119999999992</v>
      </c>
      <c r="AP26" s="27">
        <f t="shared" si="85"/>
        <v>5688.4199999999992</v>
      </c>
      <c r="AQ26" s="27">
        <f t="shared" si="85"/>
        <v>8073.6239999999989</v>
      </c>
      <c r="AR26" s="27">
        <f t="shared" si="85"/>
        <v>10033.043999999998</v>
      </c>
      <c r="AS26" s="27">
        <f t="shared" si="85"/>
        <v>13212.863999999998</v>
      </c>
      <c r="AT26" s="27">
        <f t="shared" si="85"/>
        <v>7706.1479999999983</v>
      </c>
      <c r="AU26" s="27">
        <f t="shared" si="85"/>
        <v>9002.4839999999986</v>
      </c>
      <c r="AV26" s="27">
        <f t="shared" si="85"/>
        <v>7205.7839999999987</v>
      </c>
      <c r="AW26" s="27">
        <f t="shared" si="85"/>
        <v>5718.2519999999995</v>
      </c>
      <c r="AX26" s="27">
        <f t="shared" si="85"/>
        <v>6419.3039999999992</v>
      </c>
      <c r="AY26" s="27">
        <f t="shared" si="85"/>
        <v>7372.5720000000001</v>
      </c>
      <c r="AZ26" s="27">
        <f t="shared" si="85"/>
        <v>7009.1639999999989</v>
      </c>
      <c r="BA26" s="27">
        <f t="shared" si="85"/>
        <v>7958.3639999999987</v>
      </c>
      <c r="BB26" s="27">
        <f t="shared" si="85"/>
        <v>5929.7879999999996</v>
      </c>
      <c r="BC26" s="27">
        <f t="shared" si="85"/>
        <v>5847.0719999999992</v>
      </c>
      <c r="BD26" s="27">
        <f t="shared" si="85"/>
        <v>7127.1359999999995</v>
      </c>
      <c r="BE26" s="27">
        <f t="shared" si="85"/>
        <v>6877.6319999999996</v>
      </c>
      <c r="BF26" s="27">
        <f t="shared" si="85"/>
        <v>6751.5239999999994</v>
      </c>
      <c r="BG26" s="27">
        <f t="shared" si="85"/>
        <v>6040.98</v>
      </c>
      <c r="BH26" s="27">
        <f t="shared" si="85"/>
        <v>5840.2919999999995</v>
      </c>
      <c r="BI26" s="27">
        <f t="shared" si="85"/>
        <v>7281.7199999999993</v>
      </c>
      <c r="BJ26" s="27">
        <f t="shared" si="85"/>
        <v>7272.2279999999982</v>
      </c>
      <c r="BK26" s="27">
        <f t="shared" si="85"/>
        <v>6430.1519999999991</v>
      </c>
      <c r="BL26" s="27">
        <f t="shared" si="85"/>
        <v>9982.8719999999994</v>
      </c>
      <c r="BM26" s="27">
        <f t="shared" si="85"/>
        <v>9999.1439999999984</v>
      </c>
      <c r="BN26" s="27">
        <f t="shared" si="85"/>
        <v>6278.28</v>
      </c>
      <c r="BO26" s="27">
        <f t="shared" si="85"/>
        <v>7571.9039999999986</v>
      </c>
      <c r="BP26" s="41">
        <v>1.1299999999999999</v>
      </c>
      <c r="BQ26" s="27">
        <f>$C$26*12*BQ38</f>
        <v>6610.4999999999991</v>
      </c>
      <c r="BR26" s="32" t="s">
        <v>196</v>
      </c>
      <c r="BS26" s="41" t="s">
        <v>3</v>
      </c>
      <c r="BT26" s="41">
        <v>1.1100000000000001</v>
      </c>
      <c r="BU26" s="27">
        <f>$BT$26*12*BU38</f>
        <v>6072.5879999999997</v>
      </c>
      <c r="BV26" s="27">
        <f>$BT$26*12*BV38</f>
        <v>6124.5360000000001</v>
      </c>
      <c r="BW26" s="27">
        <f>$BT$26*12*BW38</f>
        <v>6889.1040000000012</v>
      </c>
      <c r="BX26" s="27">
        <f>$BT$26*12*BX38</f>
        <v>6874.4520000000002</v>
      </c>
      <c r="BY26" s="32" t="s">
        <v>207</v>
      </c>
      <c r="BZ26" s="41" t="s">
        <v>3</v>
      </c>
      <c r="CA26" s="41">
        <v>1.1100000000000001</v>
      </c>
      <c r="CB26" s="27">
        <f>$CA$26*12*CB38</f>
        <v>6052.6080000000002</v>
      </c>
      <c r="CC26" s="27">
        <f>$CA$26*12*CC38</f>
        <v>6156.5039999999999</v>
      </c>
      <c r="CD26" s="27">
        <f>$CA$26*12*CD38</f>
        <v>6299.0280000000002</v>
      </c>
      <c r="CE26" s="27">
        <f>$CA$26*12*CE38</f>
        <v>6095.2320000000009</v>
      </c>
      <c r="CF26" s="27">
        <f>$CA$26*12*CF38</f>
        <v>6164.4960000000001</v>
      </c>
      <c r="CG26" s="32" t="s">
        <v>196</v>
      </c>
      <c r="CH26" s="41" t="s">
        <v>3</v>
      </c>
      <c r="CI26" s="41">
        <v>1.1299999999999999</v>
      </c>
      <c r="CJ26" s="27">
        <f t="shared" ref="CJ26:DJ26" si="86">$CI$26*12*CJ38</f>
        <v>6074.8799999999992</v>
      </c>
      <c r="CK26" s="27">
        <f t="shared" si="86"/>
        <v>7661.4</v>
      </c>
      <c r="CL26" s="27">
        <f t="shared" si="86"/>
        <v>7676.3159999999998</v>
      </c>
      <c r="CM26" s="27">
        <f t="shared" si="86"/>
        <v>6507.4439999999995</v>
      </c>
      <c r="CN26" s="27">
        <f t="shared" si="86"/>
        <v>7556.9879999999985</v>
      </c>
      <c r="CO26" s="27">
        <f t="shared" si="86"/>
        <v>9755.0639999999985</v>
      </c>
      <c r="CP26" s="27">
        <f t="shared" si="86"/>
        <v>6500.6639999999989</v>
      </c>
      <c r="CQ26" s="27">
        <f t="shared" si="86"/>
        <v>6270.1439999999993</v>
      </c>
      <c r="CR26" s="27">
        <f t="shared" si="86"/>
        <v>5700.6239999999989</v>
      </c>
      <c r="CS26" s="27">
        <f t="shared" si="86"/>
        <v>12015.516</v>
      </c>
      <c r="CT26" s="27">
        <f t="shared" si="86"/>
        <v>9810.66</v>
      </c>
      <c r="CU26" s="27">
        <f t="shared" si="86"/>
        <v>7634.2799999999988</v>
      </c>
      <c r="CV26" s="27">
        <f t="shared" si="86"/>
        <v>7809.2039999999988</v>
      </c>
      <c r="CW26" s="27">
        <f t="shared" si="86"/>
        <v>4697.1839999999993</v>
      </c>
      <c r="CX26" s="27">
        <f t="shared" si="86"/>
        <v>8262.1079999999984</v>
      </c>
      <c r="CY26" s="27">
        <f t="shared" si="86"/>
        <v>7497.3239999999987</v>
      </c>
      <c r="CZ26" s="27">
        <f t="shared" si="86"/>
        <v>6832.8839999999991</v>
      </c>
      <c r="DA26" s="27">
        <f t="shared" si="86"/>
        <v>6868.1399999999994</v>
      </c>
      <c r="DB26" s="27">
        <f t="shared" si="86"/>
        <v>7140.6959999999999</v>
      </c>
      <c r="DC26" s="27">
        <f t="shared" si="86"/>
        <v>6278.28</v>
      </c>
      <c r="DD26" s="27">
        <f t="shared" si="86"/>
        <v>7029.503999999999</v>
      </c>
      <c r="DE26" s="27">
        <f t="shared" si="86"/>
        <v>7102.7279999999992</v>
      </c>
      <c r="DF26" s="27">
        <f t="shared" si="86"/>
        <v>7643.7719999999999</v>
      </c>
      <c r="DG26" s="27">
        <f t="shared" si="86"/>
        <v>8234.9879999999994</v>
      </c>
      <c r="DH26" s="27">
        <f t="shared" si="86"/>
        <v>8460.0839999999989</v>
      </c>
      <c r="DI26" s="27">
        <f>$CI$26*12*DI38</f>
        <v>6846.4439999999986</v>
      </c>
      <c r="DJ26" s="27">
        <f t="shared" si="86"/>
        <v>7443.0839999999989</v>
      </c>
      <c r="DK26" s="41">
        <v>1.1299999999999999</v>
      </c>
      <c r="DL26" s="27">
        <f>$CI$26*12*DL38</f>
        <v>6643.043999999999</v>
      </c>
      <c r="DM26" s="41">
        <v>1.1299999999999999</v>
      </c>
      <c r="DN26" s="27">
        <f>$CI$26*12*DN38</f>
        <v>7519.0199999999995</v>
      </c>
      <c r="DO26" s="41">
        <v>1.1299999999999999</v>
      </c>
      <c r="DP26" s="27">
        <f>$CI$26*12*DP38</f>
        <v>6850.5119999999988</v>
      </c>
      <c r="DQ26" s="41">
        <v>1.1299999999999999</v>
      </c>
      <c r="DR26" s="27">
        <f>$CI$26*12*DR38</f>
        <v>6904.7519999999995</v>
      </c>
      <c r="DS26" s="41">
        <v>1.1299999999999999</v>
      </c>
      <c r="DT26" s="27">
        <f>$CI$26*12*DT38</f>
        <v>13479.995999999999</v>
      </c>
      <c r="DU26" s="41">
        <v>1.1299999999999999</v>
      </c>
      <c r="DV26" s="27">
        <f>$CI$26*12*DV38</f>
        <v>7714.2839999999987</v>
      </c>
      <c r="DW26" s="41">
        <v>1.1299999999999999</v>
      </c>
      <c r="DX26" s="27">
        <f>$CI$26*12*DX38</f>
        <v>6118.271999999999</v>
      </c>
      <c r="DY26" s="41">
        <v>1.1299999999999999</v>
      </c>
      <c r="DZ26" s="27">
        <f>$CI$26*12*DZ38</f>
        <v>6160.308</v>
      </c>
      <c r="EA26" s="41">
        <v>1.1299999999999999</v>
      </c>
      <c r="EB26" s="27">
        <f>$CI$26*12*EB38</f>
        <v>6328.4519999999993</v>
      </c>
      <c r="EC26" s="41">
        <v>1.1299999999999999</v>
      </c>
      <c r="ED26" s="27">
        <f>$CI$26*12*ED38</f>
        <v>7238.3279999999986</v>
      </c>
      <c r="EE26" s="41">
        <v>1.1299999999999999</v>
      </c>
      <c r="EF26" s="27">
        <f>$CI$26*12*EF38</f>
        <v>6356.9279999999999</v>
      </c>
      <c r="EG26" s="41">
        <v>1.1299999999999999</v>
      </c>
      <c r="EH26" s="27">
        <f>$CI$26*12*EH38</f>
        <v>6996.9599999999991</v>
      </c>
      <c r="EI26" s="41">
        <v>1.1299999999999999</v>
      </c>
      <c r="EJ26" s="27">
        <f>$CI$26*12*EJ38</f>
        <v>7662.7559999999994</v>
      </c>
      <c r="EK26" s="32" t="s">
        <v>196</v>
      </c>
      <c r="EL26" s="41" t="s">
        <v>3</v>
      </c>
      <c r="EM26" s="41">
        <v>1.1100000000000001</v>
      </c>
      <c r="EN26" s="27">
        <f>$EM$26*12*EN38</f>
        <v>6525.4679999999998</v>
      </c>
      <c r="EO26" s="27">
        <f>$EM$26*12*EO38</f>
        <v>6232.4279999999999</v>
      </c>
      <c r="EP26" s="27">
        <f>$EM$26*12*EP38</f>
        <v>6525.4679999999998</v>
      </c>
      <c r="EQ26" s="41">
        <v>1.1100000000000001</v>
      </c>
      <c r="ER26" s="27">
        <f>$EM$26*12*ER38</f>
        <v>6205.7879999999996</v>
      </c>
      <c r="ES26" s="32" t="s">
        <v>142</v>
      </c>
      <c r="ET26" s="41" t="s">
        <v>3</v>
      </c>
      <c r="EU26" s="41">
        <v>1.1100000000000001</v>
      </c>
      <c r="EV26" s="27">
        <f>$EU$26*12*EV38</f>
        <v>6072.5879999999997</v>
      </c>
      <c r="EW26" s="54">
        <f>$EU$26*12*EW38</f>
        <v>5538.4560000000001</v>
      </c>
      <c r="EX26" s="54">
        <f>$EU$26*12*EX38</f>
        <v>6204.4560000000001</v>
      </c>
      <c r="EY26" s="61" t="s">
        <v>225</v>
      </c>
      <c r="EZ26" s="124" t="s">
        <v>165</v>
      </c>
      <c r="FA26" s="130">
        <v>0.56000000000000005</v>
      </c>
      <c r="FB26" s="78">
        <f>0.56*12*FB38</f>
        <v>26519.136000000002</v>
      </c>
      <c r="FC26" s="78">
        <f>0.56*12*FC38</f>
        <v>15517.824000000001</v>
      </c>
      <c r="FD26" s="78">
        <f>0.56*12*FD38</f>
        <v>14837.088000000002</v>
      </c>
      <c r="FE26" s="88">
        <v>0.56000000000000005</v>
      </c>
      <c r="FF26" s="89">
        <f>0.56*12*FF38</f>
        <v>25303.488000000005</v>
      </c>
      <c r="FG26" s="88">
        <v>0.56000000000000005</v>
      </c>
      <c r="FH26" s="113">
        <f>0.56*12*FH38</f>
        <v>24274.656000000003</v>
      </c>
      <c r="FI26" s="134"/>
      <c r="FJ26" s="134"/>
      <c r="FK26" s="2"/>
    </row>
    <row r="27" spans="1:169" s="28" customFormat="1" ht="71.25" customHeight="1" x14ac:dyDescent="0.2">
      <c r="A27" s="32" t="s">
        <v>197</v>
      </c>
      <c r="B27" s="40" t="s">
        <v>7</v>
      </c>
      <c r="C27" s="41">
        <v>0.16</v>
      </c>
      <c r="D27" s="27">
        <f t="shared" ref="D27:AI27" si="87">$C$27*12*D38</f>
        <v>926.59199999999998</v>
      </c>
      <c r="E27" s="27">
        <f t="shared" si="87"/>
        <v>1134.912</v>
      </c>
      <c r="F27" s="27">
        <f t="shared" si="87"/>
        <v>885.69600000000003</v>
      </c>
      <c r="G27" s="27">
        <f t="shared" si="87"/>
        <v>819.83999999999992</v>
      </c>
      <c r="H27" s="27">
        <f t="shared" si="87"/>
        <v>2617.92</v>
      </c>
      <c r="I27" s="27">
        <f t="shared" si="87"/>
        <v>1118.9759999999999</v>
      </c>
      <c r="J27" s="27">
        <f t="shared" si="87"/>
        <v>1114.56</v>
      </c>
      <c r="K27" s="27">
        <f t="shared" si="87"/>
        <v>1060.2240000000002</v>
      </c>
      <c r="L27" s="27">
        <f t="shared" si="87"/>
        <v>1083.6479999999999</v>
      </c>
      <c r="M27" s="27">
        <f t="shared" si="87"/>
        <v>1158.3359999999998</v>
      </c>
      <c r="N27" s="27">
        <f t="shared" si="87"/>
        <v>664.31999999999994</v>
      </c>
      <c r="O27" s="27">
        <f t="shared" si="87"/>
        <v>1553.28</v>
      </c>
      <c r="P27" s="27">
        <f t="shared" si="87"/>
        <v>1113.4079999999999</v>
      </c>
      <c r="Q27" s="27">
        <f t="shared" si="87"/>
        <v>892.60799999999995</v>
      </c>
      <c r="R27" s="27">
        <f t="shared" si="87"/>
        <v>1004.16</v>
      </c>
      <c r="S27" s="27">
        <f t="shared" si="87"/>
        <v>1398.3359999999998</v>
      </c>
      <c r="T27" s="27">
        <f t="shared" si="87"/>
        <v>1148.7359999999999</v>
      </c>
      <c r="U27" s="27">
        <f t="shared" si="87"/>
        <v>878.20799999999997</v>
      </c>
      <c r="V27" s="27">
        <f t="shared" si="87"/>
        <v>912.57600000000002</v>
      </c>
      <c r="W27" s="27">
        <f t="shared" si="87"/>
        <v>884.16</v>
      </c>
      <c r="X27" s="27">
        <f t="shared" si="87"/>
        <v>1399.4879999999998</v>
      </c>
      <c r="Y27" s="27">
        <f t="shared" si="87"/>
        <v>888.3839999999999</v>
      </c>
      <c r="Z27" s="27">
        <f t="shared" si="87"/>
        <v>875.32799999999997</v>
      </c>
      <c r="AA27" s="27">
        <f t="shared" si="87"/>
        <v>991.68</v>
      </c>
      <c r="AB27" s="27">
        <f t="shared" si="87"/>
        <v>992.44799999999987</v>
      </c>
      <c r="AC27" s="27">
        <f t="shared" si="87"/>
        <v>986.11199999999997</v>
      </c>
      <c r="AD27" s="27">
        <f t="shared" si="87"/>
        <v>907.19999999999993</v>
      </c>
      <c r="AE27" s="27">
        <f t="shared" si="87"/>
        <v>915.64799999999991</v>
      </c>
      <c r="AF27" s="27">
        <f t="shared" si="87"/>
        <v>926.59199999999998</v>
      </c>
      <c r="AG27" s="27">
        <f t="shared" si="87"/>
        <v>909.69600000000003</v>
      </c>
      <c r="AH27" s="27">
        <f t="shared" si="87"/>
        <v>995.52</v>
      </c>
      <c r="AI27" s="27">
        <f t="shared" si="87"/>
        <v>1082.3040000000001</v>
      </c>
      <c r="AJ27" s="27">
        <f t="shared" ref="AJ27:BO27" si="88">$C$27*12*AJ38</f>
        <v>924.86399999999992</v>
      </c>
      <c r="AK27" s="27">
        <f t="shared" si="88"/>
        <v>1683.2640000000001</v>
      </c>
      <c r="AL27" s="27">
        <f t="shared" si="88"/>
        <v>912</v>
      </c>
      <c r="AM27" s="27">
        <f t="shared" si="88"/>
        <v>875.32799999999997</v>
      </c>
      <c r="AN27" s="27">
        <f t="shared" si="88"/>
        <v>823.48799999999994</v>
      </c>
      <c r="AO27" s="27">
        <f t="shared" si="88"/>
        <v>1397.184</v>
      </c>
      <c r="AP27" s="27">
        <f t="shared" si="88"/>
        <v>805.43999999999994</v>
      </c>
      <c r="AQ27" s="27">
        <f t="shared" si="88"/>
        <v>1143.1679999999999</v>
      </c>
      <c r="AR27" s="27">
        <f t="shared" si="88"/>
        <v>1420.6079999999999</v>
      </c>
      <c r="AS27" s="27">
        <f t="shared" si="88"/>
        <v>1870.848</v>
      </c>
      <c r="AT27" s="27">
        <f t="shared" si="88"/>
        <v>1091.136</v>
      </c>
      <c r="AU27" s="27">
        <f t="shared" si="88"/>
        <v>1274.6879999999999</v>
      </c>
      <c r="AV27" s="27">
        <f t="shared" si="88"/>
        <v>1020.2879999999999</v>
      </c>
      <c r="AW27" s="27">
        <f t="shared" si="88"/>
        <v>809.66399999999999</v>
      </c>
      <c r="AX27" s="27">
        <f t="shared" si="88"/>
        <v>908.92799999999988</v>
      </c>
      <c r="AY27" s="27">
        <f t="shared" si="88"/>
        <v>1043.904</v>
      </c>
      <c r="AZ27" s="27">
        <f t="shared" si="88"/>
        <v>992.44799999999987</v>
      </c>
      <c r="BA27" s="27">
        <f t="shared" si="88"/>
        <v>1126.848</v>
      </c>
      <c r="BB27" s="27">
        <f t="shared" si="88"/>
        <v>839.61599999999999</v>
      </c>
      <c r="BC27" s="27">
        <f t="shared" si="88"/>
        <v>827.904</v>
      </c>
      <c r="BD27" s="27">
        <f t="shared" si="88"/>
        <v>1009.152</v>
      </c>
      <c r="BE27" s="27">
        <f t="shared" si="88"/>
        <v>973.82399999999996</v>
      </c>
      <c r="BF27" s="27">
        <f t="shared" si="88"/>
        <v>955.96799999999996</v>
      </c>
      <c r="BG27" s="27">
        <f t="shared" si="88"/>
        <v>855.36</v>
      </c>
      <c r="BH27" s="27">
        <f t="shared" si="88"/>
        <v>826.94399999999996</v>
      </c>
      <c r="BI27" s="27">
        <f t="shared" si="88"/>
        <v>1031.04</v>
      </c>
      <c r="BJ27" s="27">
        <f t="shared" si="88"/>
        <v>1029.6959999999999</v>
      </c>
      <c r="BK27" s="27">
        <f t="shared" si="88"/>
        <v>910.46399999999994</v>
      </c>
      <c r="BL27" s="27">
        <f t="shared" si="88"/>
        <v>1413.5040000000001</v>
      </c>
      <c r="BM27" s="27">
        <f t="shared" si="88"/>
        <v>1415.808</v>
      </c>
      <c r="BN27" s="27">
        <f t="shared" si="88"/>
        <v>888.95999999999992</v>
      </c>
      <c r="BO27" s="27">
        <f t="shared" si="88"/>
        <v>1072.1279999999999</v>
      </c>
      <c r="BP27" s="41">
        <v>0.16</v>
      </c>
      <c r="BQ27" s="27">
        <f>$C$27*12*BQ38</f>
        <v>936</v>
      </c>
      <c r="BR27" s="32" t="s">
        <v>197</v>
      </c>
      <c r="BS27" s="40" t="s">
        <v>7</v>
      </c>
      <c r="BT27" s="41">
        <v>0.13</v>
      </c>
      <c r="BU27" s="27">
        <f>$BT$27*12*BU38</f>
        <v>711.20399999999995</v>
      </c>
      <c r="BV27" s="27">
        <f>$BT$27*12*BV38</f>
        <v>717.28800000000001</v>
      </c>
      <c r="BW27" s="27">
        <f>$BT$27*12*BW38</f>
        <v>806.83200000000011</v>
      </c>
      <c r="BX27" s="27">
        <f>$BT$27*12*BX38</f>
        <v>805.1160000000001</v>
      </c>
      <c r="BY27" s="32" t="s">
        <v>208</v>
      </c>
      <c r="BZ27" s="40" t="s">
        <v>7</v>
      </c>
      <c r="CA27" s="41">
        <v>0.14000000000000001</v>
      </c>
      <c r="CB27" s="27">
        <f>$CA$27*12*CB38</f>
        <v>763.39200000000005</v>
      </c>
      <c r="CC27" s="27">
        <f>$CA$27*12*CC38</f>
        <v>776.49600000000009</v>
      </c>
      <c r="CD27" s="27">
        <f>$CA$27*12*CD38</f>
        <v>794.47200000000009</v>
      </c>
      <c r="CE27" s="27">
        <f>$CA$27*12*CE38</f>
        <v>768.76800000000014</v>
      </c>
      <c r="CF27" s="27">
        <f>$CA$27*12*CF38</f>
        <v>777.50400000000013</v>
      </c>
      <c r="CG27" s="32" t="s">
        <v>197</v>
      </c>
      <c r="CH27" s="40" t="s">
        <v>7</v>
      </c>
      <c r="CI27" s="41">
        <v>0.16</v>
      </c>
      <c r="CJ27" s="27">
        <f t="shared" ref="CJ27:DJ27" si="89">$CI$27*12*CJ38</f>
        <v>860.16</v>
      </c>
      <c r="CK27" s="27">
        <f t="shared" si="89"/>
        <v>1084.8</v>
      </c>
      <c r="CL27" s="27">
        <f t="shared" si="89"/>
        <v>1086.912</v>
      </c>
      <c r="CM27" s="27">
        <f t="shared" si="89"/>
        <v>921.4079999999999</v>
      </c>
      <c r="CN27" s="27">
        <f t="shared" si="89"/>
        <v>1070.0159999999998</v>
      </c>
      <c r="CO27" s="27">
        <f t="shared" si="89"/>
        <v>1381.2479999999998</v>
      </c>
      <c r="CP27" s="27">
        <f t="shared" si="89"/>
        <v>920.44799999999998</v>
      </c>
      <c r="CQ27" s="27">
        <f t="shared" si="89"/>
        <v>887.80799999999988</v>
      </c>
      <c r="CR27" s="27">
        <f t="shared" si="89"/>
        <v>807.16799999999989</v>
      </c>
      <c r="CS27" s="27">
        <f t="shared" si="89"/>
        <v>1701.3119999999999</v>
      </c>
      <c r="CT27" s="27">
        <f t="shared" si="89"/>
        <v>1389.12</v>
      </c>
      <c r="CU27" s="27">
        <f t="shared" si="89"/>
        <v>1080.96</v>
      </c>
      <c r="CV27" s="27">
        <f t="shared" si="89"/>
        <v>1105.7279999999998</v>
      </c>
      <c r="CW27" s="27">
        <f t="shared" si="89"/>
        <v>665.08799999999997</v>
      </c>
      <c r="CX27" s="27">
        <f t="shared" si="89"/>
        <v>1169.8559999999998</v>
      </c>
      <c r="CY27" s="27">
        <f t="shared" si="89"/>
        <v>1061.568</v>
      </c>
      <c r="CZ27" s="27">
        <f t="shared" si="89"/>
        <v>967.48799999999994</v>
      </c>
      <c r="DA27" s="27">
        <f t="shared" si="89"/>
        <v>972.48</v>
      </c>
      <c r="DB27" s="27">
        <f t="shared" si="89"/>
        <v>1011.072</v>
      </c>
      <c r="DC27" s="27">
        <f t="shared" si="89"/>
        <v>888.95999999999992</v>
      </c>
      <c r="DD27" s="27">
        <f t="shared" si="89"/>
        <v>995.32799999999997</v>
      </c>
      <c r="DE27" s="27">
        <f t="shared" si="89"/>
        <v>1005.6959999999999</v>
      </c>
      <c r="DF27" s="27">
        <f t="shared" si="89"/>
        <v>1082.3040000000001</v>
      </c>
      <c r="DG27" s="27">
        <f t="shared" si="89"/>
        <v>1166.0159999999998</v>
      </c>
      <c r="DH27" s="27">
        <f t="shared" si="89"/>
        <v>1197.8879999999999</v>
      </c>
      <c r="DI27" s="27">
        <f>$CI$27*12*DI38</f>
        <v>969.4079999999999</v>
      </c>
      <c r="DJ27" s="27">
        <f t="shared" si="89"/>
        <v>1053.8879999999999</v>
      </c>
      <c r="DK27" s="41">
        <v>0.16</v>
      </c>
      <c r="DL27" s="27">
        <f>$CI$27*12*DL38</f>
        <v>940.60799999999995</v>
      </c>
      <c r="DM27" s="41">
        <v>0.16</v>
      </c>
      <c r="DN27" s="27">
        <f>$CI$27*12*DN38</f>
        <v>1064.6399999999999</v>
      </c>
      <c r="DO27" s="41">
        <v>0.16</v>
      </c>
      <c r="DP27" s="27">
        <f>$CI$27*12*DP38</f>
        <v>969.98399999999992</v>
      </c>
      <c r="DQ27" s="41">
        <v>0.16</v>
      </c>
      <c r="DR27" s="27">
        <f>$CI$27*12*DR38</f>
        <v>977.66399999999999</v>
      </c>
      <c r="DS27" s="41">
        <v>0.16</v>
      </c>
      <c r="DT27" s="27">
        <f>$CI$27*12*DT38</f>
        <v>1908.672</v>
      </c>
      <c r="DU27" s="41">
        <v>0.16</v>
      </c>
      <c r="DV27" s="27">
        <f>$CI$27*12*DV38</f>
        <v>1092.288</v>
      </c>
      <c r="DW27" s="41">
        <v>0.16</v>
      </c>
      <c r="DX27" s="27">
        <f>$CI$27*12*DX38</f>
        <v>866.30399999999997</v>
      </c>
      <c r="DY27" s="41">
        <v>0.16</v>
      </c>
      <c r="DZ27" s="27">
        <f>$CI$27*12*DZ38</f>
        <v>872.25599999999997</v>
      </c>
      <c r="EA27" s="41">
        <v>0.16</v>
      </c>
      <c r="EB27" s="27">
        <f>$CI$27*12*EB38</f>
        <v>896.06399999999996</v>
      </c>
      <c r="EC27" s="41">
        <v>0.16</v>
      </c>
      <c r="ED27" s="27">
        <f>$CI$27*12*ED38</f>
        <v>1024.896</v>
      </c>
      <c r="EE27" s="41">
        <v>0.16</v>
      </c>
      <c r="EF27" s="27">
        <f>$CI$27*12*EF38</f>
        <v>900.096</v>
      </c>
      <c r="EG27" s="41">
        <v>0.16</v>
      </c>
      <c r="EH27" s="27">
        <f>$CI$27*12*EH38</f>
        <v>990.71999999999991</v>
      </c>
      <c r="EI27" s="41">
        <v>0.16</v>
      </c>
      <c r="EJ27" s="27">
        <f>$CI$27*12*EJ38</f>
        <v>1084.992</v>
      </c>
      <c r="EK27" s="32" t="s">
        <v>197</v>
      </c>
      <c r="EL27" s="40" t="s">
        <v>7</v>
      </c>
      <c r="EM27" s="41">
        <v>0.13</v>
      </c>
      <c r="EN27" s="27">
        <f>$EM$27*12*EN38</f>
        <v>764.24400000000003</v>
      </c>
      <c r="EO27" s="27">
        <f>$EM$27*12*EO38</f>
        <v>729.92399999999998</v>
      </c>
      <c r="EP27" s="27">
        <f>$EM$27*12*EP38</f>
        <v>764.24400000000003</v>
      </c>
      <c r="EQ27" s="41">
        <v>0.13</v>
      </c>
      <c r="ER27" s="27">
        <f>$EM$27*12*ER38</f>
        <v>726.80399999999997</v>
      </c>
      <c r="ES27" s="32" t="s">
        <v>143</v>
      </c>
      <c r="ET27" s="40" t="s">
        <v>7</v>
      </c>
      <c r="EU27" s="41">
        <v>0.14000000000000001</v>
      </c>
      <c r="EV27" s="27">
        <f>$EU$27*12*EV38</f>
        <v>765.91200000000003</v>
      </c>
      <c r="EW27" s="54">
        <f>$EU$27*12*EW38</f>
        <v>698.5440000000001</v>
      </c>
      <c r="EX27" s="54">
        <f>$EU$27*12*EX38</f>
        <v>782.5440000000001</v>
      </c>
      <c r="EY27" s="135" t="s">
        <v>226</v>
      </c>
      <c r="EZ27" s="132" t="s">
        <v>166</v>
      </c>
      <c r="FA27" s="130">
        <v>0.03</v>
      </c>
      <c r="FB27" s="78">
        <f>0.03*12*FB38</f>
        <v>1420.6680000000001</v>
      </c>
      <c r="FC27" s="78">
        <f>0.03*12*FC38</f>
        <v>831.3119999999999</v>
      </c>
      <c r="FD27" s="78">
        <f>0.03*12*FD38</f>
        <v>794.84400000000005</v>
      </c>
      <c r="FE27" s="88">
        <v>0.03</v>
      </c>
      <c r="FF27" s="89">
        <f>0.03*12*FF38</f>
        <v>1355.5439999999999</v>
      </c>
      <c r="FG27" s="88">
        <v>0.03</v>
      </c>
      <c r="FH27" s="113">
        <f>0.03*12*FH38</f>
        <v>1300.4280000000001</v>
      </c>
      <c r="FI27" s="134"/>
      <c r="FJ27" s="134"/>
      <c r="FK27" s="2"/>
    </row>
    <row r="28" spans="1:169" s="28" customFormat="1" ht="112.5" customHeight="1" x14ac:dyDescent="0.2">
      <c r="A28" s="32" t="s">
        <v>198</v>
      </c>
      <c r="B28" s="40" t="s">
        <v>6</v>
      </c>
      <c r="C28" s="41">
        <v>0.85</v>
      </c>
      <c r="D28" s="27">
        <f t="shared" ref="D28:AI28" si="90">$C$28*12*D38</f>
        <v>4922.5199999999995</v>
      </c>
      <c r="E28" s="27">
        <f t="shared" si="90"/>
        <v>6029.22</v>
      </c>
      <c r="F28" s="27">
        <f t="shared" si="90"/>
        <v>4705.26</v>
      </c>
      <c r="G28" s="27">
        <f t="shared" si="90"/>
        <v>4355.3999999999996</v>
      </c>
      <c r="H28" s="27">
        <f t="shared" si="90"/>
        <v>13907.699999999999</v>
      </c>
      <c r="I28" s="27">
        <f t="shared" si="90"/>
        <v>5944.5599999999995</v>
      </c>
      <c r="J28" s="27">
        <f t="shared" si="90"/>
        <v>5921.0999999999995</v>
      </c>
      <c r="K28" s="27">
        <f t="shared" si="90"/>
        <v>5632.4400000000005</v>
      </c>
      <c r="L28" s="27">
        <f t="shared" si="90"/>
        <v>5756.8799999999992</v>
      </c>
      <c r="M28" s="27">
        <f t="shared" si="90"/>
        <v>6153.6599999999989</v>
      </c>
      <c r="N28" s="27">
        <f t="shared" si="90"/>
        <v>3529.2</v>
      </c>
      <c r="O28" s="27">
        <f t="shared" si="90"/>
        <v>8251.7999999999993</v>
      </c>
      <c r="P28" s="27">
        <f t="shared" si="90"/>
        <v>5914.98</v>
      </c>
      <c r="Q28" s="27">
        <f t="shared" si="90"/>
        <v>4741.9799999999996</v>
      </c>
      <c r="R28" s="27">
        <f t="shared" si="90"/>
        <v>5334.5999999999995</v>
      </c>
      <c r="S28" s="27">
        <f t="shared" si="90"/>
        <v>7428.6599999999989</v>
      </c>
      <c r="T28" s="27">
        <f t="shared" si="90"/>
        <v>6102.6599999999989</v>
      </c>
      <c r="U28" s="27">
        <f t="shared" si="90"/>
        <v>4665.4799999999996</v>
      </c>
      <c r="V28" s="27">
        <f t="shared" si="90"/>
        <v>4848.0599999999995</v>
      </c>
      <c r="W28" s="27">
        <f t="shared" si="90"/>
        <v>4697.0999999999995</v>
      </c>
      <c r="X28" s="27">
        <f t="shared" si="90"/>
        <v>7434.7799999999988</v>
      </c>
      <c r="Y28" s="27">
        <f t="shared" si="90"/>
        <v>4719.54</v>
      </c>
      <c r="Z28" s="27">
        <f t="shared" si="90"/>
        <v>4650.1799999999994</v>
      </c>
      <c r="AA28" s="27">
        <f t="shared" si="90"/>
        <v>5268.2999999999993</v>
      </c>
      <c r="AB28" s="27">
        <f t="shared" si="90"/>
        <v>5272.3799999999992</v>
      </c>
      <c r="AC28" s="27">
        <f t="shared" si="90"/>
        <v>5238.72</v>
      </c>
      <c r="AD28" s="27">
        <f t="shared" si="90"/>
        <v>4819.5</v>
      </c>
      <c r="AE28" s="27">
        <f t="shared" si="90"/>
        <v>4864.3799999999992</v>
      </c>
      <c r="AF28" s="27">
        <f t="shared" si="90"/>
        <v>4922.5199999999995</v>
      </c>
      <c r="AG28" s="27">
        <f t="shared" si="90"/>
        <v>4832.76</v>
      </c>
      <c r="AH28" s="27">
        <f t="shared" si="90"/>
        <v>5288.7</v>
      </c>
      <c r="AI28" s="27">
        <f t="shared" si="90"/>
        <v>5749.74</v>
      </c>
      <c r="AJ28" s="27">
        <f t="shared" ref="AJ28:BO28" si="91">$C$28*12*AJ38</f>
        <v>4913.3399999999992</v>
      </c>
      <c r="AK28" s="27">
        <f t="shared" si="91"/>
        <v>8942.34</v>
      </c>
      <c r="AL28" s="27">
        <f t="shared" si="91"/>
        <v>4845</v>
      </c>
      <c r="AM28" s="27">
        <f t="shared" si="91"/>
        <v>4650.1799999999994</v>
      </c>
      <c r="AN28" s="27">
        <f t="shared" si="91"/>
        <v>4374.78</v>
      </c>
      <c r="AO28" s="27">
        <f t="shared" si="91"/>
        <v>7422.54</v>
      </c>
      <c r="AP28" s="27">
        <f t="shared" si="91"/>
        <v>4278.8999999999996</v>
      </c>
      <c r="AQ28" s="27">
        <f t="shared" si="91"/>
        <v>6073.079999999999</v>
      </c>
      <c r="AR28" s="27">
        <f t="shared" si="91"/>
        <v>7546.98</v>
      </c>
      <c r="AS28" s="27">
        <f t="shared" si="91"/>
        <v>9938.8799999999992</v>
      </c>
      <c r="AT28" s="27">
        <f t="shared" si="91"/>
        <v>5796.6599999999989</v>
      </c>
      <c r="AU28" s="27">
        <f t="shared" si="91"/>
        <v>6771.78</v>
      </c>
      <c r="AV28" s="27">
        <f t="shared" si="91"/>
        <v>5420.28</v>
      </c>
      <c r="AW28" s="27">
        <f t="shared" si="91"/>
        <v>4301.3399999999992</v>
      </c>
      <c r="AX28" s="27">
        <f t="shared" si="91"/>
        <v>4828.6799999999994</v>
      </c>
      <c r="AY28" s="27">
        <f t="shared" si="91"/>
        <v>5545.74</v>
      </c>
      <c r="AZ28" s="27">
        <f t="shared" si="91"/>
        <v>5272.3799999999992</v>
      </c>
      <c r="BA28" s="27">
        <f t="shared" si="91"/>
        <v>5986.3799999999992</v>
      </c>
      <c r="BB28" s="27">
        <f t="shared" si="91"/>
        <v>4460.46</v>
      </c>
      <c r="BC28" s="27">
        <f t="shared" si="91"/>
        <v>4398.24</v>
      </c>
      <c r="BD28" s="27">
        <f t="shared" si="91"/>
        <v>5361.12</v>
      </c>
      <c r="BE28" s="27">
        <f t="shared" si="91"/>
        <v>5173.4399999999996</v>
      </c>
      <c r="BF28" s="27">
        <f t="shared" si="91"/>
        <v>5078.579999999999</v>
      </c>
      <c r="BG28" s="27">
        <f t="shared" si="91"/>
        <v>4544.0999999999995</v>
      </c>
      <c r="BH28" s="27">
        <f t="shared" si="91"/>
        <v>4393.1399999999994</v>
      </c>
      <c r="BI28" s="27">
        <f t="shared" si="91"/>
        <v>5477.4</v>
      </c>
      <c r="BJ28" s="27">
        <f t="shared" si="91"/>
        <v>5470.2599999999993</v>
      </c>
      <c r="BK28" s="27">
        <f t="shared" si="91"/>
        <v>4836.8399999999992</v>
      </c>
      <c r="BL28" s="27">
        <f t="shared" si="91"/>
        <v>7509.24</v>
      </c>
      <c r="BM28" s="27">
        <f t="shared" si="91"/>
        <v>7521.48</v>
      </c>
      <c r="BN28" s="27">
        <f t="shared" si="91"/>
        <v>4722.5999999999995</v>
      </c>
      <c r="BO28" s="27">
        <f t="shared" si="91"/>
        <v>5695.6799999999994</v>
      </c>
      <c r="BP28" s="41">
        <v>0.85</v>
      </c>
      <c r="BQ28" s="27">
        <f>$C$28*12*BQ38</f>
        <v>4972.5</v>
      </c>
      <c r="BR28" s="32" t="s">
        <v>204</v>
      </c>
      <c r="BS28" s="41" t="s">
        <v>6</v>
      </c>
      <c r="BT28" s="41">
        <v>3.69</v>
      </c>
      <c r="BU28" s="27">
        <f>$BT$28*12*BU38</f>
        <v>20187.252</v>
      </c>
      <c r="BV28" s="27">
        <f>$BT$28*12*BV38</f>
        <v>20359.944</v>
      </c>
      <c r="BW28" s="27">
        <f>$BT$28*12*BW38</f>
        <v>22901.616000000002</v>
      </c>
      <c r="BX28" s="27">
        <f>$BT$28*12*BX38</f>
        <v>22852.908000000003</v>
      </c>
      <c r="BY28" s="32" t="s">
        <v>209</v>
      </c>
      <c r="BZ28" s="41" t="s">
        <v>6</v>
      </c>
      <c r="CA28" s="41">
        <v>2.11</v>
      </c>
      <c r="CB28" s="27">
        <f>$CA$28*12*CB38</f>
        <v>11505.407999999999</v>
      </c>
      <c r="CC28" s="27">
        <f>$CA$28*12*CC38</f>
        <v>11702.904</v>
      </c>
      <c r="CD28" s="27">
        <f>$CA$28*12*CD38</f>
        <v>11973.828</v>
      </c>
      <c r="CE28" s="27">
        <f>$CA$28*12*CE38</f>
        <v>11586.432000000001</v>
      </c>
      <c r="CF28" s="27">
        <f>$CA$28*12*CF38</f>
        <v>11718.096</v>
      </c>
      <c r="CG28" s="32" t="s">
        <v>198</v>
      </c>
      <c r="CH28" s="41" t="s">
        <v>6</v>
      </c>
      <c r="CI28" s="41">
        <v>0.85</v>
      </c>
      <c r="CJ28" s="27">
        <f t="shared" ref="CJ28:DJ28" si="92">$CI$28*12*CJ38</f>
        <v>4569.5999999999995</v>
      </c>
      <c r="CK28" s="27">
        <f t="shared" si="92"/>
        <v>5763</v>
      </c>
      <c r="CL28" s="27">
        <f t="shared" si="92"/>
        <v>5774.22</v>
      </c>
      <c r="CM28" s="27">
        <f t="shared" si="92"/>
        <v>4894.9799999999996</v>
      </c>
      <c r="CN28" s="27">
        <f t="shared" si="92"/>
        <v>5684.4599999999991</v>
      </c>
      <c r="CO28" s="27">
        <f t="shared" si="92"/>
        <v>7337.8799999999992</v>
      </c>
      <c r="CP28" s="27">
        <f t="shared" si="92"/>
        <v>4889.8799999999992</v>
      </c>
      <c r="CQ28" s="27">
        <f t="shared" si="92"/>
        <v>4716.4799999999996</v>
      </c>
      <c r="CR28" s="27">
        <f t="shared" si="92"/>
        <v>4288.079999999999</v>
      </c>
      <c r="CS28" s="27">
        <f t="shared" si="92"/>
        <v>9038.2199999999993</v>
      </c>
      <c r="CT28" s="27">
        <f t="shared" si="92"/>
        <v>7379.7</v>
      </c>
      <c r="CU28" s="27">
        <f t="shared" si="92"/>
        <v>5742.5999999999995</v>
      </c>
      <c r="CV28" s="27">
        <f t="shared" si="92"/>
        <v>5874.1799999999994</v>
      </c>
      <c r="CW28" s="27">
        <f t="shared" si="92"/>
        <v>3533.2799999999997</v>
      </c>
      <c r="CX28" s="27">
        <f t="shared" si="92"/>
        <v>6214.8599999999988</v>
      </c>
      <c r="CY28" s="27">
        <f t="shared" si="92"/>
        <v>5639.579999999999</v>
      </c>
      <c r="CZ28" s="27">
        <f t="shared" si="92"/>
        <v>5139.78</v>
      </c>
      <c r="DA28" s="27">
        <f t="shared" si="92"/>
        <v>5166.2999999999993</v>
      </c>
      <c r="DB28" s="27">
        <f t="shared" si="92"/>
        <v>5371.32</v>
      </c>
      <c r="DC28" s="27">
        <f t="shared" si="92"/>
        <v>4722.5999999999995</v>
      </c>
      <c r="DD28" s="27">
        <f t="shared" si="92"/>
        <v>5287.6799999999994</v>
      </c>
      <c r="DE28" s="27">
        <f t="shared" si="92"/>
        <v>5342.7599999999993</v>
      </c>
      <c r="DF28" s="27">
        <f t="shared" si="92"/>
        <v>5749.74</v>
      </c>
      <c r="DG28" s="27">
        <f t="shared" si="92"/>
        <v>6194.4599999999991</v>
      </c>
      <c r="DH28" s="27">
        <f t="shared" si="92"/>
        <v>6363.78</v>
      </c>
      <c r="DI28" s="27">
        <f>$CI$28*12*DI38</f>
        <v>5149.9799999999996</v>
      </c>
      <c r="DJ28" s="27">
        <f t="shared" si="92"/>
        <v>5598.78</v>
      </c>
      <c r="DK28" s="41">
        <v>0.85</v>
      </c>
      <c r="DL28" s="27">
        <f>$CI$28*12*DL38</f>
        <v>4996.9799999999996</v>
      </c>
      <c r="DM28" s="41">
        <v>0.85</v>
      </c>
      <c r="DN28" s="27">
        <f>$CI$28*12*DN38</f>
        <v>5655.9</v>
      </c>
      <c r="DO28" s="41">
        <v>0.85</v>
      </c>
      <c r="DP28" s="27">
        <f>$CI$28*12*DP38</f>
        <v>5153.04</v>
      </c>
      <c r="DQ28" s="41">
        <v>0.85</v>
      </c>
      <c r="DR28" s="27">
        <f>$CI$28*12*DR38</f>
        <v>5193.8399999999992</v>
      </c>
      <c r="DS28" s="41">
        <v>0.85</v>
      </c>
      <c r="DT28" s="27">
        <f>$CI$28*12*DT38</f>
        <v>10139.82</v>
      </c>
      <c r="DU28" s="41">
        <v>0.85</v>
      </c>
      <c r="DV28" s="27">
        <f>$CI$28*12*DV38</f>
        <v>5802.78</v>
      </c>
      <c r="DW28" s="41">
        <v>0.85</v>
      </c>
      <c r="DX28" s="27">
        <f>$CI$28*12*DX38</f>
        <v>4602.24</v>
      </c>
      <c r="DY28" s="41">
        <v>0.85</v>
      </c>
      <c r="DZ28" s="27">
        <f>$CI$28*12*DZ38</f>
        <v>4633.8599999999997</v>
      </c>
      <c r="EA28" s="41">
        <v>0.85</v>
      </c>
      <c r="EB28" s="27">
        <f>$CI$28*12*EB38</f>
        <v>4760.3399999999992</v>
      </c>
      <c r="EC28" s="41">
        <v>0.85</v>
      </c>
      <c r="ED28" s="27">
        <f>$CI$28*12*ED38</f>
        <v>5444.7599999999993</v>
      </c>
      <c r="EE28" s="41">
        <v>0.85</v>
      </c>
      <c r="EF28" s="27">
        <f>$CI$28*12*EF38</f>
        <v>4781.76</v>
      </c>
      <c r="EG28" s="41">
        <v>0.85</v>
      </c>
      <c r="EH28" s="27">
        <f>$CI$28*12*EH38</f>
        <v>5263.2</v>
      </c>
      <c r="EI28" s="41">
        <v>0.85</v>
      </c>
      <c r="EJ28" s="27">
        <f>$CI$28*12*EJ38</f>
        <v>5764.0199999999995</v>
      </c>
      <c r="EK28" s="32" t="s">
        <v>204</v>
      </c>
      <c r="EL28" s="41" t="s">
        <v>6</v>
      </c>
      <c r="EM28" s="41">
        <v>2.25</v>
      </c>
      <c r="EN28" s="27">
        <f>$EM$28*12*EN38</f>
        <v>13227.3</v>
      </c>
      <c r="EO28" s="27">
        <f>$EM$28*12*EO38</f>
        <v>12633.3</v>
      </c>
      <c r="EP28" s="27">
        <f>$EM$28*12*EP38</f>
        <v>13227.3</v>
      </c>
      <c r="EQ28" s="41">
        <v>2.25</v>
      </c>
      <c r="ER28" s="27">
        <f>$EM$28*12*ER38</f>
        <v>12579.3</v>
      </c>
      <c r="ES28" s="32" t="s">
        <v>144</v>
      </c>
      <c r="ET28" s="41" t="s">
        <v>6</v>
      </c>
      <c r="EU28" s="41">
        <v>1.41</v>
      </c>
      <c r="EV28" s="27">
        <f>$EU$28*12*EV38</f>
        <v>7713.8279999999986</v>
      </c>
      <c r="EW28" s="54">
        <f>$EU$28*12*EW38</f>
        <v>7035.3359999999993</v>
      </c>
      <c r="EX28" s="54">
        <f>$EU$28*12*EX38</f>
        <v>7881.3359999999993</v>
      </c>
      <c r="EY28" s="61" t="s">
        <v>227</v>
      </c>
      <c r="EZ28" s="124" t="s">
        <v>6</v>
      </c>
      <c r="FA28" s="90">
        <v>2.77</v>
      </c>
      <c r="FB28" s="85">
        <f>2.77*12*FB38</f>
        <v>131175.01200000002</v>
      </c>
      <c r="FC28" s="85">
        <f>2.77*12*FC38</f>
        <v>76757.808000000005</v>
      </c>
      <c r="FD28" s="85">
        <f>2.77*12*FD38</f>
        <v>73390.596000000005</v>
      </c>
      <c r="FE28" s="88">
        <v>2.4900000000000002</v>
      </c>
      <c r="FF28" s="89">
        <f>2.49*12*FF38</f>
        <v>112510.15200000002</v>
      </c>
      <c r="FG28" s="88">
        <v>2.4900000000000002</v>
      </c>
      <c r="FH28" s="113">
        <f>2.49*12*FH38</f>
        <v>107935.52400000002</v>
      </c>
      <c r="FI28" s="112"/>
      <c r="FJ28" s="112"/>
      <c r="FK28" s="2"/>
    </row>
    <row r="29" spans="1:169" s="28" customFormat="1" ht="24.75" customHeight="1" x14ac:dyDescent="0.2">
      <c r="A29" s="33" t="s">
        <v>5</v>
      </c>
      <c r="B29" s="40"/>
      <c r="C29" s="136">
        <f>SUM(C30:C34)</f>
        <v>10.93</v>
      </c>
      <c r="D29" s="137">
        <f>SUM(D30:D34)</f>
        <v>63297.815999999999</v>
      </c>
      <c r="E29" s="137">
        <f t="shared" ref="E29:BC29" si="93">SUM(E30:E34)</f>
        <v>77528.676000000007</v>
      </c>
      <c r="F29" s="137">
        <f t="shared" si="93"/>
        <v>60504.108000000007</v>
      </c>
      <c r="G29" s="137">
        <f t="shared" si="93"/>
        <v>56005.319999999992</v>
      </c>
      <c r="H29" s="137">
        <f t="shared" si="93"/>
        <v>178836.65999999997</v>
      </c>
      <c r="I29" s="137">
        <f t="shared" si="93"/>
        <v>76440.047999999981</v>
      </c>
      <c r="J29" s="137">
        <f t="shared" si="93"/>
        <v>76138.37999999999</v>
      </c>
      <c r="K29" s="137">
        <f t="shared" si="93"/>
        <v>72426.551999999996</v>
      </c>
      <c r="L29" s="137">
        <f t="shared" si="93"/>
        <v>74026.703999999983</v>
      </c>
      <c r="M29" s="137">
        <f t="shared" si="93"/>
        <v>79128.827999999994</v>
      </c>
      <c r="N29" s="137">
        <f t="shared" si="93"/>
        <v>45381.359999999993</v>
      </c>
      <c r="O29" s="137">
        <f t="shared" si="93"/>
        <v>106108.44</v>
      </c>
      <c r="P29" s="137">
        <f t="shared" si="93"/>
        <v>76059.683999999994</v>
      </c>
      <c r="Q29" s="137">
        <f t="shared" si="93"/>
        <v>60976.283999999992</v>
      </c>
      <c r="R29" s="137">
        <f t="shared" si="93"/>
        <v>68596.679999999993</v>
      </c>
      <c r="S29" s="137">
        <f t="shared" si="93"/>
        <v>95523.827999999994</v>
      </c>
      <c r="T29" s="138">
        <f t="shared" ref="T29" si="94">SUM(T30:T34)</f>
        <v>78473.027999999977</v>
      </c>
      <c r="U29" s="137">
        <f t="shared" si="93"/>
        <v>59992.583999999995</v>
      </c>
      <c r="V29" s="137">
        <f t="shared" si="93"/>
        <v>62340.347999999998</v>
      </c>
      <c r="W29" s="137">
        <f t="shared" si="93"/>
        <v>60399.18</v>
      </c>
      <c r="X29" s="137">
        <f t="shared" si="93"/>
        <v>95602.52399999999</v>
      </c>
      <c r="Y29" s="137">
        <f t="shared" si="93"/>
        <v>60687.731999999996</v>
      </c>
      <c r="Z29" s="138">
        <f t="shared" ref="Z29" si="95">SUM(Z30:Z34)</f>
        <v>59795.843999999997</v>
      </c>
      <c r="AA29" s="137">
        <f t="shared" si="93"/>
        <v>67744.14</v>
      </c>
      <c r="AB29" s="137">
        <f t="shared" si="93"/>
        <v>67796.603999999992</v>
      </c>
      <c r="AC29" s="137">
        <f t="shared" si="93"/>
        <v>67363.776000000013</v>
      </c>
      <c r="AD29" s="137">
        <f t="shared" si="93"/>
        <v>61973.1</v>
      </c>
      <c r="AE29" s="137">
        <f t="shared" si="93"/>
        <v>62550.203999999991</v>
      </c>
      <c r="AF29" s="137">
        <f t="shared" si="93"/>
        <v>63297.815999999999</v>
      </c>
      <c r="AG29" s="137">
        <f t="shared" si="93"/>
        <v>62143.608000000007</v>
      </c>
      <c r="AH29" s="137">
        <f t="shared" si="93"/>
        <v>68006.459999999992</v>
      </c>
      <c r="AI29" s="137">
        <f t="shared" si="93"/>
        <v>73934.891999999993</v>
      </c>
      <c r="AJ29" s="137">
        <f t="shared" si="93"/>
        <v>63179.77199999999</v>
      </c>
      <c r="AK29" s="137">
        <f t="shared" si="93"/>
        <v>114987.97200000002</v>
      </c>
      <c r="AL29" s="137">
        <f t="shared" si="93"/>
        <v>62300.999999999993</v>
      </c>
      <c r="AM29" s="137">
        <f t="shared" si="93"/>
        <v>59795.843999999997</v>
      </c>
      <c r="AN29" s="137">
        <f t="shared" si="93"/>
        <v>56254.52399999999</v>
      </c>
      <c r="AO29" s="137">
        <f t="shared" si="93"/>
        <v>95445.131999999998</v>
      </c>
      <c r="AP29" s="137">
        <f t="shared" si="93"/>
        <v>55021.619999999995</v>
      </c>
      <c r="AQ29" s="137">
        <f t="shared" si="93"/>
        <v>78092.66399999999</v>
      </c>
      <c r="AR29" s="137">
        <f t="shared" si="93"/>
        <v>97045.284</v>
      </c>
      <c r="AS29" s="137">
        <f t="shared" si="93"/>
        <v>127802.30399999997</v>
      </c>
      <c r="AT29" s="137">
        <f t="shared" si="93"/>
        <v>74538.227999999988</v>
      </c>
      <c r="AU29" s="137">
        <f t="shared" si="93"/>
        <v>87077.123999999996</v>
      </c>
      <c r="AV29" s="137">
        <f t="shared" si="93"/>
        <v>69698.423999999985</v>
      </c>
      <c r="AW29" s="137">
        <f t="shared" si="93"/>
        <v>55310.171999999991</v>
      </c>
      <c r="AX29" s="137">
        <f t="shared" si="93"/>
        <v>62091.143999999986</v>
      </c>
      <c r="AY29" s="137">
        <f t="shared" si="93"/>
        <v>71311.691999999995</v>
      </c>
      <c r="AZ29" s="137">
        <f t="shared" si="93"/>
        <v>67796.603999999992</v>
      </c>
      <c r="BA29" s="137">
        <f t="shared" si="93"/>
        <v>76977.803999999989</v>
      </c>
      <c r="BB29" s="137">
        <f t="shared" si="93"/>
        <v>57356.267999999996</v>
      </c>
      <c r="BC29" s="137">
        <f t="shared" si="93"/>
        <v>56556.192000000003</v>
      </c>
      <c r="BD29" s="137">
        <f t="shared" ref="BD29:BH29" si="96">SUM(BD30:BD34)</f>
        <v>68937.695999999996</v>
      </c>
      <c r="BE29" s="137">
        <f t="shared" si="96"/>
        <v>66524.351999999999</v>
      </c>
      <c r="BF29" s="137">
        <f t="shared" si="96"/>
        <v>65304.563999999998</v>
      </c>
      <c r="BG29" s="137">
        <f t="shared" si="96"/>
        <v>58431.779999999992</v>
      </c>
      <c r="BH29" s="137">
        <f t="shared" si="96"/>
        <v>56490.611999999994</v>
      </c>
      <c r="BI29" s="137">
        <f t="shared" ref="BI29:BO29" si="97">SUM(BI30:BI34)</f>
        <v>70432.92</v>
      </c>
      <c r="BJ29" s="137">
        <f t="shared" si="97"/>
        <v>70341.107999999978</v>
      </c>
      <c r="BK29" s="137">
        <f t="shared" si="97"/>
        <v>62196.071999999993</v>
      </c>
      <c r="BL29" s="137">
        <f t="shared" si="97"/>
        <v>96559.991999999984</v>
      </c>
      <c r="BM29" s="137">
        <f t="shared" si="97"/>
        <v>96717.383999999991</v>
      </c>
      <c r="BN29" s="137">
        <f t="shared" ref="BN29" si="98">SUM(BN30:BN34)</f>
        <v>60727.079999999994</v>
      </c>
      <c r="BO29" s="137">
        <f t="shared" si="97"/>
        <v>73239.743999999977</v>
      </c>
      <c r="BP29" s="136">
        <f>SUM(BP30:BP34)</f>
        <v>10.93</v>
      </c>
      <c r="BQ29" s="138">
        <f>SUM(BQ30:BQ34)</f>
        <v>63940.499999999993</v>
      </c>
      <c r="BR29" s="139" t="s">
        <v>5</v>
      </c>
      <c r="BS29" s="41"/>
      <c r="BT29" s="136">
        <f>SUM(BT30:BT34)</f>
        <v>6.4999999999999991</v>
      </c>
      <c r="BU29" s="137">
        <f t="shared" ref="BU29:BX29" si="99">SUM(BU30:BU34)</f>
        <v>35560.199999999997</v>
      </c>
      <c r="BV29" s="137">
        <f t="shared" si="99"/>
        <v>35864.400000000001</v>
      </c>
      <c r="BW29" s="137">
        <f t="shared" si="99"/>
        <v>40341.600000000006</v>
      </c>
      <c r="BX29" s="137">
        <f t="shared" si="99"/>
        <v>40255.799999999996</v>
      </c>
      <c r="BY29" s="139" t="s">
        <v>5</v>
      </c>
      <c r="BZ29" s="41"/>
      <c r="CA29" s="136">
        <f>SUM(CA30:CA34)</f>
        <v>6.46</v>
      </c>
      <c r="CB29" s="137">
        <f>SUM(CB30:CB34)</f>
        <v>35225.087999999996</v>
      </c>
      <c r="CC29" s="137">
        <f t="shared" ref="CC29:CF29" si="100">SUM(CC30:CC34)</f>
        <v>35829.743999999992</v>
      </c>
      <c r="CD29" s="137">
        <f t="shared" si="100"/>
        <v>36659.207999999999</v>
      </c>
      <c r="CE29" s="137">
        <f t="shared" si="100"/>
        <v>35473.152000000002</v>
      </c>
      <c r="CF29" s="137">
        <f t="shared" si="100"/>
        <v>35876.256000000001</v>
      </c>
      <c r="CG29" s="139" t="s">
        <v>5</v>
      </c>
      <c r="CH29" s="41"/>
      <c r="CI29" s="136">
        <f>SUM(CI30:CI34)</f>
        <v>7.24</v>
      </c>
      <c r="CJ29" s="137">
        <f t="shared" ref="CJ29:CS29" si="101">SUM(CJ30:CJ34)</f>
        <v>38922.240000000005</v>
      </c>
      <c r="CK29" s="137">
        <f t="shared" si="101"/>
        <v>49087.199999999997</v>
      </c>
      <c r="CL29" s="137">
        <f t="shared" si="101"/>
        <v>49182.767999999996</v>
      </c>
      <c r="CM29" s="137">
        <f t="shared" si="101"/>
        <v>41693.711999999992</v>
      </c>
      <c r="CN29" s="137">
        <f t="shared" si="101"/>
        <v>48418.223999999995</v>
      </c>
      <c r="CO29" s="137">
        <f t="shared" si="101"/>
        <v>62501.472000000002</v>
      </c>
      <c r="CP29" s="137">
        <f t="shared" si="101"/>
        <v>41650.271999999997</v>
      </c>
      <c r="CQ29" s="137">
        <f t="shared" si="101"/>
        <v>40173.311999999998</v>
      </c>
      <c r="CR29" s="137">
        <f t="shared" si="101"/>
        <v>36524.351999999999</v>
      </c>
      <c r="CS29" s="137">
        <f t="shared" si="101"/>
        <v>76984.368000000002</v>
      </c>
      <c r="CT29" s="138">
        <f t="shared" ref="CT29:DF29" si="102">SUM(CT30:CT34)</f>
        <v>62857.679999999993</v>
      </c>
      <c r="CU29" s="138">
        <f t="shared" si="102"/>
        <v>48913.440000000002</v>
      </c>
      <c r="CV29" s="138">
        <f t="shared" si="102"/>
        <v>50034.191999999995</v>
      </c>
      <c r="CW29" s="138">
        <f t="shared" si="102"/>
        <v>30095.231999999996</v>
      </c>
      <c r="CX29" s="138">
        <f t="shared" si="102"/>
        <v>52935.983999999997</v>
      </c>
      <c r="CY29" s="138">
        <f t="shared" si="102"/>
        <v>48035.95199999999</v>
      </c>
      <c r="CZ29" s="138">
        <f t="shared" si="102"/>
        <v>43778.831999999995</v>
      </c>
      <c r="DA29" s="138">
        <f t="shared" si="102"/>
        <v>44004.72</v>
      </c>
      <c r="DB29" s="138">
        <f t="shared" si="102"/>
        <v>45751.008000000009</v>
      </c>
      <c r="DC29" s="138">
        <f t="shared" si="102"/>
        <v>40225.440000000002</v>
      </c>
      <c r="DD29" s="138">
        <f t="shared" si="102"/>
        <v>45038.592000000004</v>
      </c>
      <c r="DE29" s="138">
        <f t="shared" si="102"/>
        <v>45507.743999999992</v>
      </c>
      <c r="DF29" s="138">
        <f t="shared" si="102"/>
        <v>48974.256000000001</v>
      </c>
      <c r="DG29" s="138">
        <f>SUM(DG30:DG34)</f>
        <v>52762.223999999995</v>
      </c>
      <c r="DH29" s="138">
        <f t="shared" ref="DH29:DU29" si="103">SUM(DH30:DH34)</f>
        <v>54204.431999999993</v>
      </c>
      <c r="DI29" s="138">
        <f>SUM(DI30:DI34)</f>
        <v>43865.711999999992</v>
      </c>
      <c r="DJ29" s="138">
        <f t="shared" si="103"/>
        <v>47688.431999999993</v>
      </c>
      <c r="DK29" s="136">
        <f t="shared" si="103"/>
        <v>7.24</v>
      </c>
      <c r="DL29" s="138">
        <f>SUM(DL30:DL34)</f>
        <v>42562.511999999995</v>
      </c>
      <c r="DM29" s="136">
        <f t="shared" ref="DM29:DO29" si="104">SUM(DM30:DM34)</f>
        <v>7.24</v>
      </c>
      <c r="DN29" s="138">
        <f>SUM(DN30:DN34)</f>
        <v>48174.96</v>
      </c>
      <c r="DO29" s="136">
        <f t="shared" si="104"/>
        <v>7.24</v>
      </c>
      <c r="DP29" s="138">
        <f>SUM(DP30:DP34)</f>
        <v>43891.775999999998</v>
      </c>
      <c r="DQ29" s="136">
        <f t="shared" ref="DQ29" si="105">SUM(DQ30:DQ34)</f>
        <v>7.24</v>
      </c>
      <c r="DR29" s="138">
        <f>SUM(DR30:DR34)</f>
        <v>44239.295999999995</v>
      </c>
      <c r="DS29" s="136">
        <f t="shared" ref="DS29" si="106">SUM(DS30:DS34)</f>
        <v>7.24</v>
      </c>
      <c r="DT29" s="138">
        <f>SUM(DT30:DT34)</f>
        <v>86367.407999999996</v>
      </c>
      <c r="DU29" s="136">
        <f t="shared" si="103"/>
        <v>7.24</v>
      </c>
      <c r="DV29" s="138">
        <f>SUM(DV30:DV34)</f>
        <v>49426.031999999992</v>
      </c>
      <c r="DW29" s="136">
        <f t="shared" ref="DW29:EJ29" si="107">SUM(DW30:DW34)</f>
        <v>7.24</v>
      </c>
      <c r="DX29" s="138">
        <f>SUM(DX30:DX34)</f>
        <v>39200.255999999994</v>
      </c>
      <c r="DY29" s="136">
        <f t="shared" si="107"/>
        <v>7.24</v>
      </c>
      <c r="DZ29" s="138">
        <f t="shared" si="107"/>
        <v>39469.583999999995</v>
      </c>
      <c r="EA29" s="136">
        <f t="shared" si="107"/>
        <v>7.24</v>
      </c>
      <c r="EB29" s="138">
        <f t="shared" si="107"/>
        <v>40546.895999999993</v>
      </c>
      <c r="EC29" s="136">
        <f t="shared" si="107"/>
        <v>7.24</v>
      </c>
      <c r="ED29" s="138">
        <f t="shared" si="107"/>
        <v>46376.543999999994</v>
      </c>
      <c r="EE29" s="136">
        <f t="shared" si="107"/>
        <v>7.24</v>
      </c>
      <c r="EF29" s="138">
        <f t="shared" si="107"/>
        <v>40729.343999999997</v>
      </c>
      <c r="EG29" s="136">
        <f t="shared" si="107"/>
        <v>7.24</v>
      </c>
      <c r="EH29" s="138">
        <f t="shared" si="107"/>
        <v>44830.080000000002</v>
      </c>
      <c r="EI29" s="136">
        <f t="shared" si="107"/>
        <v>7.24</v>
      </c>
      <c r="EJ29" s="138">
        <f t="shared" si="107"/>
        <v>49095.888000000006</v>
      </c>
      <c r="EK29" s="139" t="s">
        <v>5</v>
      </c>
      <c r="EL29" s="41"/>
      <c r="EM29" s="136">
        <f>SUM(EM30:EM34)</f>
        <v>4.62</v>
      </c>
      <c r="EN29" s="137">
        <f>SUM(EN30:EN34)</f>
        <v>27160.056</v>
      </c>
      <c r="EO29" s="137">
        <f t="shared" ref="EO29" si="108">SUM(EO30:EO34)</f>
        <v>25940.376</v>
      </c>
      <c r="EP29" s="137">
        <f t="shared" ref="EP29" si="109">SUM(EP30:EP34)</f>
        <v>27160.056</v>
      </c>
      <c r="EQ29" s="136">
        <f>SUM(EQ30:EQ34)</f>
        <v>4.62</v>
      </c>
      <c r="ER29" s="138">
        <f>SUM(ER30:ER34)</f>
        <v>25829.496000000003</v>
      </c>
      <c r="ES29" s="139" t="s">
        <v>5</v>
      </c>
      <c r="ET29" s="41"/>
      <c r="EU29" s="136">
        <f>SUM(EU30:EU34)</f>
        <v>4</v>
      </c>
      <c r="EV29" s="137">
        <f>SUM(EV30:EV34)</f>
        <v>21883.199999999997</v>
      </c>
      <c r="EW29" s="140">
        <f>SUM(EW30:EW34)</f>
        <v>19958.399999999998</v>
      </c>
      <c r="EX29" s="140">
        <f>SUM(EX30:EX34)</f>
        <v>22358.399999999998</v>
      </c>
      <c r="EY29" s="59" t="s">
        <v>5</v>
      </c>
      <c r="EZ29" s="124"/>
      <c r="FA29" s="87">
        <f t="shared" ref="FA29:FH29" si="110">SUM(FA30:FA31)</f>
        <v>4.71</v>
      </c>
      <c r="FB29" s="82">
        <f t="shared" si="110"/>
        <v>223044.87600000002</v>
      </c>
      <c r="FC29" s="82">
        <f t="shared" si="110"/>
        <v>130515.98399999998</v>
      </c>
      <c r="FD29" s="82">
        <f t="shared" si="110"/>
        <v>124790.508</v>
      </c>
      <c r="FE29" s="87">
        <f t="shared" si="110"/>
        <v>3.88</v>
      </c>
      <c r="FF29" s="82">
        <f t="shared" si="110"/>
        <v>175317.02399999998</v>
      </c>
      <c r="FG29" s="87">
        <f t="shared" ref="FG29" si="111">SUM(FG30:FG31)</f>
        <v>3.88</v>
      </c>
      <c r="FH29" s="119">
        <f t="shared" si="110"/>
        <v>168188.68799999999</v>
      </c>
      <c r="FI29" s="141"/>
      <c r="FJ29" s="141"/>
      <c r="FK29" s="2"/>
    </row>
    <row r="30" spans="1:169" s="28" customFormat="1" ht="165" customHeight="1" x14ac:dyDescent="0.2">
      <c r="A30" s="32" t="s">
        <v>199</v>
      </c>
      <c r="B30" s="40" t="s">
        <v>23</v>
      </c>
      <c r="C30" s="41">
        <v>6.6</v>
      </c>
      <c r="D30" s="27">
        <f t="shared" ref="D30:AI30" si="112">$C$30*12*D38</f>
        <v>38221.919999999998</v>
      </c>
      <c r="E30" s="27">
        <f t="shared" si="112"/>
        <v>46815.119999999995</v>
      </c>
      <c r="F30" s="27">
        <f t="shared" si="112"/>
        <v>36534.959999999999</v>
      </c>
      <c r="G30" s="27">
        <f t="shared" si="112"/>
        <v>33818.399999999994</v>
      </c>
      <c r="H30" s="27">
        <f t="shared" si="112"/>
        <v>107989.19999999998</v>
      </c>
      <c r="I30" s="27">
        <f t="shared" si="112"/>
        <v>46157.759999999987</v>
      </c>
      <c r="J30" s="27">
        <f t="shared" si="112"/>
        <v>45975.599999999991</v>
      </c>
      <c r="K30" s="27">
        <f t="shared" si="112"/>
        <v>43734.239999999998</v>
      </c>
      <c r="L30" s="27">
        <f t="shared" si="112"/>
        <v>44700.479999999989</v>
      </c>
      <c r="M30" s="27">
        <f t="shared" si="112"/>
        <v>47781.359999999986</v>
      </c>
      <c r="N30" s="27">
        <f t="shared" si="112"/>
        <v>27403.199999999997</v>
      </c>
      <c r="O30" s="27">
        <f t="shared" si="112"/>
        <v>64072.799999999988</v>
      </c>
      <c r="P30" s="27">
        <f t="shared" si="112"/>
        <v>45928.079999999994</v>
      </c>
      <c r="Q30" s="27">
        <f t="shared" si="112"/>
        <v>36820.079999999994</v>
      </c>
      <c r="R30" s="27">
        <f t="shared" si="112"/>
        <v>41421.599999999991</v>
      </c>
      <c r="S30" s="27">
        <f t="shared" si="112"/>
        <v>57681.359999999986</v>
      </c>
      <c r="T30" s="27">
        <f t="shared" si="112"/>
        <v>47385.359999999986</v>
      </c>
      <c r="U30" s="27">
        <f t="shared" si="112"/>
        <v>36226.079999999994</v>
      </c>
      <c r="V30" s="27">
        <f t="shared" si="112"/>
        <v>37643.759999999995</v>
      </c>
      <c r="W30" s="27">
        <f t="shared" si="112"/>
        <v>36471.599999999991</v>
      </c>
      <c r="X30" s="27">
        <f t="shared" si="112"/>
        <v>57728.87999999999</v>
      </c>
      <c r="Y30" s="27">
        <f t="shared" si="112"/>
        <v>36645.839999999997</v>
      </c>
      <c r="Z30" s="27">
        <f t="shared" si="112"/>
        <v>36107.279999999992</v>
      </c>
      <c r="AA30" s="27">
        <f t="shared" si="112"/>
        <v>40906.799999999996</v>
      </c>
      <c r="AB30" s="27">
        <f t="shared" si="112"/>
        <v>40938.479999999996</v>
      </c>
      <c r="AC30" s="27">
        <f t="shared" si="112"/>
        <v>40677.119999999995</v>
      </c>
      <c r="AD30" s="27">
        <f t="shared" si="112"/>
        <v>37421.999999999993</v>
      </c>
      <c r="AE30" s="27">
        <f t="shared" si="112"/>
        <v>37770.479999999996</v>
      </c>
      <c r="AF30" s="27">
        <f t="shared" si="112"/>
        <v>38221.919999999998</v>
      </c>
      <c r="AG30" s="27">
        <f t="shared" si="112"/>
        <v>37524.959999999999</v>
      </c>
      <c r="AH30" s="27">
        <f t="shared" si="112"/>
        <v>41065.199999999997</v>
      </c>
      <c r="AI30" s="27">
        <f t="shared" si="112"/>
        <v>44645.039999999994</v>
      </c>
      <c r="AJ30" s="27">
        <f t="shared" ref="AJ30:BO30" si="113">$C$30*12*AJ38</f>
        <v>38150.639999999992</v>
      </c>
      <c r="AK30" s="27">
        <f t="shared" si="113"/>
        <v>69434.64</v>
      </c>
      <c r="AL30" s="27">
        <f t="shared" si="113"/>
        <v>37619.999999999993</v>
      </c>
      <c r="AM30" s="27">
        <f t="shared" si="113"/>
        <v>36107.279999999992</v>
      </c>
      <c r="AN30" s="27">
        <f t="shared" si="113"/>
        <v>33968.87999999999</v>
      </c>
      <c r="AO30" s="27">
        <f t="shared" si="113"/>
        <v>57633.84</v>
      </c>
      <c r="AP30" s="27">
        <f t="shared" si="113"/>
        <v>33224.399999999994</v>
      </c>
      <c r="AQ30" s="27">
        <f t="shared" si="113"/>
        <v>47155.679999999993</v>
      </c>
      <c r="AR30" s="27">
        <f t="shared" si="113"/>
        <v>58600.079999999987</v>
      </c>
      <c r="AS30" s="27">
        <f t="shared" si="113"/>
        <v>77172.479999999981</v>
      </c>
      <c r="AT30" s="27">
        <f t="shared" si="113"/>
        <v>45009.359999999993</v>
      </c>
      <c r="AU30" s="27">
        <f t="shared" si="113"/>
        <v>52580.87999999999</v>
      </c>
      <c r="AV30" s="27">
        <f t="shared" si="113"/>
        <v>42086.87999999999</v>
      </c>
      <c r="AW30" s="27">
        <f t="shared" si="113"/>
        <v>33398.639999999992</v>
      </c>
      <c r="AX30" s="27">
        <f t="shared" si="113"/>
        <v>37493.279999999992</v>
      </c>
      <c r="AY30" s="27">
        <f t="shared" si="113"/>
        <v>43061.04</v>
      </c>
      <c r="AZ30" s="27">
        <f t="shared" si="113"/>
        <v>40938.479999999996</v>
      </c>
      <c r="BA30" s="27">
        <f t="shared" si="113"/>
        <v>46482.479999999989</v>
      </c>
      <c r="BB30" s="27">
        <f t="shared" si="113"/>
        <v>34634.159999999996</v>
      </c>
      <c r="BC30" s="27">
        <f t="shared" si="113"/>
        <v>34151.039999999994</v>
      </c>
      <c r="BD30" s="27">
        <f t="shared" si="113"/>
        <v>41627.519999999997</v>
      </c>
      <c r="BE30" s="27">
        <f t="shared" si="113"/>
        <v>40170.239999999991</v>
      </c>
      <c r="BF30" s="27">
        <f t="shared" si="113"/>
        <v>39433.679999999993</v>
      </c>
      <c r="BG30" s="27">
        <f t="shared" si="113"/>
        <v>35283.599999999999</v>
      </c>
      <c r="BH30" s="27">
        <f t="shared" si="113"/>
        <v>34111.439999999995</v>
      </c>
      <c r="BI30" s="27">
        <f t="shared" si="113"/>
        <v>42530.399999999994</v>
      </c>
      <c r="BJ30" s="27">
        <f t="shared" si="113"/>
        <v>42474.959999999992</v>
      </c>
      <c r="BK30" s="27">
        <f t="shared" si="113"/>
        <v>37556.639999999992</v>
      </c>
      <c r="BL30" s="27">
        <f t="shared" si="113"/>
        <v>58307.039999999994</v>
      </c>
      <c r="BM30" s="27">
        <f t="shared" si="113"/>
        <v>58402.079999999987</v>
      </c>
      <c r="BN30" s="27">
        <f t="shared" si="113"/>
        <v>36669.599999999991</v>
      </c>
      <c r="BO30" s="27">
        <f t="shared" si="113"/>
        <v>44225.279999999992</v>
      </c>
      <c r="BP30" s="41">
        <v>6.6</v>
      </c>
      <c r="BQ30" s="27">
        <f>$C$30*12*BQ38</f>
        <v>38609.999999999993</v>
      </c>
      <c r="BR30" s="32" t="s">
        <v>205</v>
      </c>
      <c r="BS30" s="40" t="s">
        <v>127</v>
      </c>
      <c r="BT30" s="41">
        <f>2.52</f>
        <v>2.52</v>
      </c>
      <c r="BU30" s="27">
        <f>$BT$30*12*BU38</f>
        <v>13786.416000000001</v>
      </c>
      <c r="BV30" s="27">
        <f>$BT$30*12*BV38</f>
        <v>13904.352000000001</v>
      </c>
      <c r="BW30" s="27">
        <f>$BT$30*12*BW38</f>
        <v>15640.128000000002</v>
      </c>
      <c r="BX30" s="27">
        <f>$BT$30*12*BX38</f>
        <v>15606.864000000001</v>
      </c>
      <c r="BY30" s="32" t="s">
        <v>210</v>
      </c>
      <c r="BZ30" s="40" t="s">
        <v>146</v>
      </c>
      <c r="CA30" s="41">
        <v>1.81</v>
      </c>
      <c r="CB30" s="27">
        <f>$CA$30*12*CB38</f>
        <v>9869.5679999999993</v>
      </c>
      <c r="CC30" s="27">
        <f>$CA$30*12*CC38</f>
        <v>10038.983999999999</v>
      </c>
      <c r="CD30" s="27">
        <f>$CA$30*12*CD38</f>
        <v>10271.387999999999</v>
      </c>
      <c r="CE30" s="27">
        <f>$CA$30*12*CE38</f>
        <v>9939.0720000000001</v>
      </c>
      <c r="CF30" s="27">
        <f>$CA$30*12*CF38</f>
        <v>10052.016</v>
      </c>
      <c r="CG30" s="32" t="s">
        <v>199</v>
      </c>
      <c r="CH30" s="40" t="s">
        <v>23</v>
      </c>
      <c r="CI30" s="41">
        <v>4.5999999999999996</v>
      </c>
      <c r="CJ30" s="27">
        <f t="shared" ref="CJ30:DJ30" si="114">$CI$30*12*CJ38</f>
        <v>24729.599999999999</v>
      </c>
      <c r="CK30" s="27">
        <f t="shared" si="114"/>
        <v>31187.999999999996</v>
      </c>
      <c r="CL30" s="27">
        <f t="shared" si="114"/>
        <v>31248.719999999998</v>
      </c>
      <c r="CM30" s="27">
        <f t="shared" si="114"/>
        <v>26490.479999999996</v>
      </c>
      <c r="CN30" s="27">
        <f t="shared" si="114"/>
        <v>30762.959999999995</v>
      </c>
      <c r="CO30" s="27">
        <f t="shared" si="114"/>
        <v>39710.879999999997</v>
      </c>
      <c r="CP30" s="27">
        <f t="shared" si="114"/>
        <v>26462.879999999997</v>
      </c>
      <c r="CQ30" s="27">
        <f t="shared" si="114"/>
        <v>25524.479999999996</v>
      </c>
      <c r="CR30" s="27">
        <f t="shared" si="114"/>
        <v>23206.079999999998</v>
      </c>
      <c r="CS30" s="27">
        <f t="shared" si="114"/>
        <v>48912.719999999994</v>
      </c>
      <c r="CT30" s="27">
        <f t="shared" si="114"/>
        <v>39937.199999999997</v>
      </c>
      <c r="CU30" s="27">
        <f t="shared" si="114"/>
        <v>31077.599999999999</v>
      </c>
      <c r="CV30" s="27">
        <f t="shared" si="114"/>
        <v>31789.679999999997</v>
      </c>
      <c r="CW30" s="27">
        <f t="shared" si="114"/>
        <v>19121.28</v>
      </c>
      <c r="CX30" s="27">
        <f t="shared" si="114"/>
        <v>33633.359999999993</v>
      </c>
      <c r="CY30" s="27">
        <f t="shared" si="114"/>
        <v>30520.079999999998</v>
      </c>
      <c r="CZ30" s="27">
        <f t="shared" si="114"/>
        <v>27815.279999999995</v>
      </c>
      <c r="DA30" s="27">
        <f t="shared" si="114"/>
        <v>27958.799999999999</v>
      </c>
      <c r="DB30" s="27">
        <f t="shared" si="114"/>
        <v>29068.32</v>
      </c>
      <c r="DC30" s="27">
        <f t="shared" si="114"/>
        <v>25557.599999999999</v>
      </c>
      <c r="DD30" s="27">
        <f t="shared" si="114"/>
        <v>28615.679999999997</v>
      </c>
      <c r="DE30" s="27">
        <f t="shared" si="114"/>
        <v>28913.759999999995</v>
      </c>
      <c r="DF30" s="27">
        <f t="shared" si="114"/>
        <v>31116.240000000002</v>
      </c>
      <c r="DG30" s="27">
        <f t="shared" si="114"/>
        <v>33522.959999999992</v>
      </c>
      <c r="DH30" s="27">
        <f t="shared" si="114"/>
        <v>34439.279999999999</v>
      </c>
      <c r="DI30" s="27">
        <f>$CI$30*12*DI38</f>
        <v>27870.479999999996</v>
      </c>
      <c r="DJ30" s="27">
        <f t="shared" si="114"/>
        <v>30299.279999999995</v>
      </c>
      <c r="DK30" s="41">
        <v>4.5999999999999996</v>
      </c>
      <c r="DL30" s="27">
        <f>$CI$30*12*DL38</f>
        <v>27042.479999999996</v>
      </c>
      <c r="DM30" s="41">
        <v>4.5999999999999996</v>
      </c>
      <c r="DN30" s="27">
        <f>$CI$30*12*DN38</f>
        <v>30608.399999999998</v>
      </c>
      <c r="DO30" s="41">
        <v>4.5999999999999996</v>
      </c>
      <c r="DP30" s="27">
        <f>$CI$30*12*DP38</f>
        <v>27887.039999999997</v>
      </c>
      <c r="DQ30" s="41">
        <v>4.5999999999999996</v>
      </c>
      <c r="DR30" s="27">
        <f>$CI$30*12*DR38</f>
        <v>28107.839999999997</v>
      </c>
      <c r="DS30" s="41">
        <v>4.5999999999999996</v>
      </c>
      <c r="DT30" s="27">
        <f>$CI$30*12*DT38</f>
        <v>54874.32</v>
      </c>
      <c r="DU30" s="41">
        <v>4.5999999999999996</v>
      </c>
      <c r="DV30" s="27">
        <f>$CI$30*12*DV38</f>
        <v>31403.279999999995</v>
      </c>
      <c r="DW30" s="41">
        <v>4.5999999999999996</v>
      </c>
      <c r="DX30" s="27">
        <f>$CI$30*12*DX38</f>
        <v>24906.239999999998</v>
      </c>
      <c r="DY30" s="41">
        <v>4.5999999999999996</v>
      </c>
      <c r="DZ30" s="27">
        <f>$CI$30*12*DZ38</f>
        <v>25077.359999999997</v>
      </c>
      <c r="EA30" s="41">
        <v>4.5999999999999996</v>
      </c>
      <c r="EB30" s="27">
        <f>$CI$30*12*EB38</f>
        <v>25761.839999999997</v>
      </c>
      <c r="EC30" s="41">
        <v>4.5999999999999996</v>
      </c>
      <c r="ED30" s="27">
        <f>$CI$30*12*ED38</f>
        <v>29465.759999999995</v>
      </c>
      <c r="EE30" s="41">
        <v>4.5999999999999996</v>
      </c>
      <c r="EF30" s="27">
        <f>$CI$30*12*EF38</f>
        <v>25877.759999999998</v>
      </c>
      <c r="EG30" s="41">
        <v>4.5999999999999996</v>
      </c>
      <c r="EH30" s="27">
        <f>$CI$30*12*EH38</f>
        <v>28483.199999999997</v>
      </c>
      <c r="EI30" s="41">
        <v>4.5999999999999996</v>
      </c>
      <c r="EJ30" s="27">
        <f>$CI$30*12*EJ38</f>
        <v>31193.52</v>
      </c>
      <c r="EK30" s="32" t="s">
        <v>205</v>
      </c>
      <c r="EL30" s="40" t="s">
        <v>127</v>
      </c>
      <c r="EM30" s="41">
        <f>1.87</f>
        <v>1.87</v>
      </c>
      <c r="EN30" s="27">
        <f>$EM$30*12*EN38</f>
        <v>10993.356</v>
      </c>
      <c r="EO30" s="27">
        <f>$EM$30*12*EO38</f>
        <v>10499.675999999999</v>
      </c>
      <c r="EP30" s="27">
        <f>$EM$30*12*EP38</f>
        <v>10993.356</v>
      </c>
      <c r="EQ30" s="41">
        <f>1.87</f>
        <v>1.87</v>
      </c>
      <c r="ER30" s="27">
        <f>$EM$30*12*ER38</f>
        <v>10454.796</v>
      </c>
      <c r="ES30" s="32" t="s">
        <v>145</v>
      </c>
      <c r="ET30" s="40" t="s">
        <v>146</v>
      </c>
      <c r="EU30" s="41">
        <v>1.1499999999999999</v>
      </c>
      <c r="EV30" s="27">
        <f>$EU$30*12*EV38</f>
        <v>6291.4199999999992</v>
      </c>
      <c r="EW30" s="54">
        <f>$EU$30*12*EW38</f>
        <v>5738.04</v>
      </c>
      <c r="EX30" s="54">
        <f>$EU$30*12*EX38</f>
        <v>6428.04</v>
      </c>
      <c r="EY30" s="61" t="s">
        <v>228</v>
      </c>
      <c r="EZ30" s="132" t="s">
        <v>167</v>
      </c>
      <c r="FA30" s="90">
        <v>2.97</v>
      </c>
      <c r="FB30" s="85">
        <f>2.97*12*FB38</f>
        <v>140646.13200000001</v>
      </c>
      <c r="FC30" s="85">
        <f>2.97*12*FC38</f>
        <v>82299.887999999992</v>
      </c>
      <c r="FD30" s="85">
        <f>2.97*12*FD38</f>
        <v>78689.556000000011</v>
      </c>
      <c r="FE30" s="90">
        <v>2.71</v>
      </c>
      <c r="FF30" s="85">
        <f>2.71*12*FF38</f>
        <v>122450.80799999999</v>
      </c>
      <c r="FG30" s="90">
        <v>2.71</v>
      </c>
      <c r="FH30" s="83">
        <f>2.71*12*FH38</f>
        <v>117471.99599999998</v>
      </c>
      <c r="FI30" s="112"/>
      <c r="FJ30" s="112"/>
      <c r="FK30" s="2"/>
    </row>
    <row r="31" spans="1:169" s="28" customFormat="1" ht="63.75" customHeight="1" x14ac:dyDescent="0.2">
      <c r="A31" s="32" t="s">
        <v>200</v>
      </c>
      <c r="B31" s="40" t="s">
        <v>4</v>
      </c>
      <c r="C31" s="41">
        <v>1.37</v>
      </c>
      <c r="D31" s="27">
        <f t="shared" ref="D31:AI31" si="115">$C$31*12*D38</f>
        <v>7933.9440000000013</v>
      </c>
      <c r="E31" s="27">
        <f t="shared" si="115"/>
        <v>9717.6840000000011</v>
      </c>
      <c r="F31" s="27">
        <f t="shared" si="115"/>
        <v>7583.7720000000008</v>
      </c>
      <c r="G31" s="27">
        <f t="shared" si="115"/>
        <v>7019.88</v>
      </c>
      <c r="H31" s="27">
        <f t="shared" si="115"/>
        <v>22415.940000000002</v>
      </c>
      <c r="I31" s="27">
        <f t="shared" si="115"/>
        <v>9581.232</v>
      </c>
      <c r="J31" s="27">
        <f t="shared" si="115"/>
        <v>9543.42</v>
      </c>
      <c r="K31" s="27">
        <f t="shared" si="115"/>
        <v>9078.1680000000015</v>
      </c>
      <c r="L31" s="27">
        <f t="shared" si="115"/>
        <v>9278.7360000000008</v>
      </c>
      <c r="M31" s="27">
        <f t="shared" si="115"/>
        <v>9918.2520000000004</v>
      </c>
      <c r="N31" s="27">
        <f t="shared" si="115"/>
        <v>5688.2400000000007</v>
      </c>
      <c r="O31" s="27">
        <f t="shared" si="115"/>
        <v>13299.960000000001</v>
      </c>
      <c r="P31" s="27">
        <f t="shared" si="115"/>
        <v>9533.5560000000005</v>
      </c>
      <c r="Q31" s="27">
        <f t="shared" si="115"/>
        <v>7642.9560000000001</v>
      </c>
      <c r="R31" s="27">
        <f t="shared" si="115"/>
        <v>8598.1200000000008</v>
      </c>
      <c r="S31" s="27">
        <f t="shared" si="115"/>
        <v>11973.252</v>
      </c>
      <c r="T31" s="27">
        <f t="shared" si="115"/>
        <v>9836.0519999999997</v>
      </c>
      <c r="U31" s="27">
        <f t="shared" si="115"/>
        <v>7519.6559999999999</v>
      </c>
      <c r="V31" s="27">
        <f t="shared" si="115"/>
        <v>7813.9320000000007</v>
      </c>
      <c r="W31" s="27">
        <f t="shared" si="115"/>
        <v>7570.6200000000008</v>
      </c>
      <c r="X31" s="27">
        <f t="shared" si="115"/>
        <v>11983.116</v>
      </c>
      <c r="Y31" s="27">
        <f t="shared" si="115"/>
        <v>7606.7880000000005</v>
      </c>
      <c r="Z31" s="27">
        <f t="shared" si="115"/>
        <v>7494.9960000000001</v>
      </c>
      <c r="AA31" s="27">
        <f t="shared" si="115"/>
        <v>8491.26</v>
      </c>
      <c r="AB31" s="27">
        <f t="shared" si="115"/>
        <v>8497.8360000000011</v>
      </c>
      <c r="AC31" s="27">
        <f t="shared" si="115"/>
        <v>8443.5840000000007</v>
      </c>
      <c r="AD31" s="27">
        <f t="shared" si="115"/>
        <v>7767.9000000000005</v>
      </c>
      <c r="AE31" s="27">
        <f t="shared" si="115"/>
        <v>7840.2359999999999</v>
      </c>
      <c r="AF31" s="27">
        <f t="shared" si="115"/>
        <v>7933.9440000000013</v>
      </c>
      <c r="AG31" s="27">
        <f t="shared" si="115"/>
        <v>7789.2720000000008</v>
      </c>
      <c r="AH31" s="27">
        <f t="shared" si="115"/>
        <v>8524.1400000000012</v>
      </c>
      <c r="AI31" s="27">
        <f t="shared" si="115"/>
        <v>9267.228000000001</v>
      </c>
      <c r="AJ31" s="27">
        <f t="shared" ref="AJ31:BO31" si="116">$C$31*12*AJ38</f>
        <v>7919.1480000000001</v>
      </c>
      <c r="AK31" s="27">
        <f t="shared" si="116"/>
        <v>14412.948000000002</v>
      </c>
      <c r="AL31" s="27">
        <f t="shared" si="116"/>
        <v>7809.0000000000009</v>
      </c>
      <c r="AM31" s="27">
        <f t="shared" si="116"/>
        <v>7494.9960000000001</v>
      </c>
      <c r="AN31" s="27">
        <f t="shared" si="116"/>
        <v>7051.116</v>
      </c>
      <c r="AO31" s="27">
        <f t="shared" si="116"/>
        <v>11963.388000000001</v>
      </c>
      <c r="AP31" s="27">
        <f t="shared" si="116"/>
        <v>6896.5800000000008</v>
      </c>
      <c r="AQ31" s="27">
        <f t="shared" si="116"/>
        <v>9788.3760000000002</v>
      </c>
      <c r="AR31" s="27">
        <f t="shared" si="116"/>
        <v>12163.956</v>
      </c>
      <c r="AS31" s="27">
        <f t="shared" si="116"/>
        <v>16019.136</v>
      </c>
      <c r="AT31" s="27">
        <f t="shared" si="116"/>
        <v>9342.8520000000008</v>
      </c>
      <c r="AU31" s="27">
        <f t="shared" si="116"/>
        <v>10914.516</v>
      </c>
      <c r="AV31" s="27">
        <f t="shared" si="116"/>
        <v>8736.2160000000003</v>
      </c>
      <c r="AW31" s="27">
        <f t="shared" si="116"/>
        <v>6932.7480000000005</v>
      </c>
      <c r="AX31" s="27">
        <f t="shared" si="116"/>
        <v>7782.6959999999999</v>
      </c>
      <c r="AY31" s="27">
        <f t="shared" si="116"/>
        <v>8938.4280000000017</v>
      </c>
      <c r="AZ31" s="27">
        <f t="shared" si="116"/>
        <v>8497.8360000000011</v>
      </c>
      <c r="BA31" s="27">
        <f t="shared" si="116"/>
        <v>9648.6360000000004</v>
      </c>
      <c r="BB31" s="27">
        <f t="shared" si="116"/>
        <v>7189.2120000000004</v>
      </c>
      <c r="BC31" s="27">
        <f t="shared" si="116"/>
        <v>7088.9280000000008</v>
      </c>
      <c r="BD31" s="27">
        <f t="shared" si="116"/>
        <v>8640.8640000000014</v>
      </c>
      <c r="BE31" s="27">
        <f t="shared" si="116"/>
        <v>8338.3680000000004</v>
      </c>
      <c r="BF31" s="27">
        <f t="shared" si="116"/>
        <v>8185.4760000000006</v>
      </c>
      <c r="BG31" s="27">
        <f t="shared" si="116"/>
        <v>7324.02</v>
      </c>
      <c r="BH31" s="27">
        <f t="shared" si="116"/>
        <v>7080.7080000000005</v>
      </c>
      <c r="BI31" s="27">
        <f t="shared" si="116"/>
        <v>8828.2800000000007</v>
      </c>
      <c r="BJ31" s="27">
        <f t="shared" si="116"/>
        <v>8816.7720000000008</v>
      </c>
      <c r="BK31" s="27">
        <f t="shared" si="116"/>
        <v>7795.8480000000009</v>
      </c>
      <c r="BL31" s="27">
        <f t="shared" si="116"/>
        <v>12103.128000000002</v>
      </c>
      <c r="BM31" s="27">
        <f t="shared" si="116"/>
        <v>12122.856</v>
      </c>
      <c r="BN31" s="27">
        <f t="shared" si="116"/>
        <v>7611.72</v>
      </c>
      <c r="BO31" s="27">
        <f t="shared" si="116"/>
        <v>9180.0959999999995</v>
      </c>
      <c r="BP31" s="41">
        <v>1.37</v>
      </c>
      <c r="BQ31" s="27">
        <f>$C$31*12*BQ38</f>
        <v>8014.5000000000009</v>
      </c>
      <c r="BR31" s="123" t="s">
        <v>200</v>
      </c>
      <c r="BS31" s="40" t="s">
        <v>128</v>
      </c>
      <c r="BT31" s="41">
        <v>1.34</v>
      </c>
      <c r="BU31" s="27">
        <f>$BT$31*12*BU38</f>
        <v>7330.8720000000003</v>
      </c>
      <c r="BV31" s="27">
        <f>$BT$31*12*BV38</f>
        <v>7393.5840000000007</v>
      </c>
      <c r="BW31" s="27">
        <f>$BT$31*12*BW38</f>
        <v>8316.5760000000009</v>
      </c>
      <c r="BX31" s="27">
        <f>$BT$31*12*BX38</f>
        <v>8298.8880000000008</v>
      </c>
      <c r="BY31" s="123" t="s">
        <v>211</v>
      </c>
      <c r="BZ31" s="40" t="s">
        <v>148</v>
      </c>
      <c r="CA31" s="41">
        <v>1.48</v>
      </c>
      <c r="CB31" s="27">
        <f>$CA$31*12*CB38</f>
        <v>8070.1439999999984</v>
      </c>
      <c r="CC31" s="27">
        <f>$CA$31*12*CC38</f>
        <v>8208.6719999999987</v>
      </c>
      <c r="CD31" s="27">
        <f>$CA$31*12*CD38</f>
        <v>8398.7039999999979</v>
      </c>
      <c r="CE31" s="27">
        <f>$CA$31*12*CE38</f>
        <v>8126.9759999999997</v>
      </c>
      <c r="CF31" s="27">
        <f>$CA$31*12*CF38</f>
        <v>8219.3279999999995</v>
      </c>
      <c r="CG31" s="123" t="s">
        <v>200</v>
      </c>
      <c r="CH31" s="40" t="s">
        <v>4</v>
      </c>
      <c r="CI31" s="41">
        <v>1.37</v>
      </c>
      <c r="CJ31" s="27">
        <f t="shared" ref="CJ31:DJ31" si="117">$CI$31*12*CJ38</f>
        <v>7365.1200000000008</v>
      </c>
      <c r="CK31" s="27">
        <f t="shared" si="117"/>
        <v>9288.6</v>
      </c>
      <c r="CL31" s="27">
        <f t="shared" si="117"/>
        <v>9306.6840000000011</v>
      </c>
      <c r="CM31" s="27">
        <f t="shared" si="117"/>
        <v>7889.5560000000005</v>
      </c>
      <c r="CN31" s="27">
        <f t="shared" si="117"/>
        <v>9162.0120000000006</v>
      </c>
      <c r="CO31" s="27">
        <f t="shared" si="117"/>
        <v>11826.936</v>
      </c>
      <c r="CP31" s="27">
        <f t="shared" si="117"/>
        <v>7881.3360000000002</v>
      </c>
      <c r="CQ31" s="27">
        <f t="shared" si="117"/>
        <v>7601.8559999999998</v>
      </c>
      <c r="CR31" s="27">
        <f t="shared" si="117"/>
        <v>6911.3760000000002</v>
      </c>
      <c r="CS31" s="27">
        <f t="shared" si="117"/>
        <v>14567.484000000002</v>
      </c>
      <c r="CT31" s="27">
        <f t="shared" si="117"/>
        <v>11894.34</v>
      </c>
      <c r="CU31" s="27">
        <f t="shared" si="117"/>
        <v>9255.7200000000012</v>
      </c>
      <c r="CV31" s="27">
        <f t="shared" si="117"/>
        <v>9467.7960000000003</v>
      </c>
      <c r="CW31" s="27">
        <f t="shared" si="117"/>
        <v>5694.8159999999998</v>
      </c>
      <c r="CX31" s="27">
        <f t="shared" si="117"/>
        <v>10016.892</v>
      </c>
      <c r="CY31" s="27">
        <f t="shared" si="117"/>
        <v>9089.6759999999995</v>
      </c>
      <c r="CZ31" s="27">
        <f t="shared" si="117"/>
        <v>8284.116</v>
      </c>
      <c r="DA31" s="27">
        <f t="shared" si="117"/>
        <v>8326.86</v>
      </c>
      <c r="DB31" s="27">
        <f t="shared" si="117"/>
        <v>8657.3040000000019</v>
      </c>
      <c r="DC31" s="27">
        <f t="shared" si="117"/>
        <v>7611.72</v>
      </c>
      <c r="DD31" s="27">
        <f t="shared" si="117"/>
        <v>8522.496000000001</v>
      </c>
      <c r="DE31" s="27">
        <f t="shared" si="117"/>
        <v>8611.271999999999</v>
      </c>
      <c r="DF31" s="27">
        <f t="shared" si="117"/>
        <v>9267.228000000001</v>
      </c>
      <c r="DG31" s="27">
        <f t="shared" si="117"/>
        <v>9984.0120000000006</v>
      </c>
      <c r="DH31" s="27">
        <f t="shared" si="117"/>
        <v>10256.916000000001</v>
      </c>
      <c r="DI31" s="27">
        <f>$CI$31*12*DI38</f>
        <v>8300.5560000000005</v>
      </c>
      <c r="DJ31" s="27">
        <f t="shared" si="117"/>
        <v>9023.9160000000011</v>
      </c>
      <c r="DK31" s="41">
        <v>1.37</v>
      </c>
      <c r="DL31" s="27">
        <f>$CI$31*12*DL38</f>
        <v>8053.9560000000001</v>
      </c>
      <c r="DM31" s="41">
        <v>1.37</v>
      </c>
      <c r="DN31" s="27">
        <f>$CI$31*12*DN38</f>
        <v>9115.9800000000014</v>
      </c>
      <c r="DO31" s="41">
        <v>1.37</v>
      </c>
      <c r="DP31" s="27">
        <f>$CI$31*12*DP38</f>
        <v>8305.4880000000012</v>
      </c>
      <c r="DQ31" s="41">
        <v>1.37</v>
      </c>
      <c r="DR31" s="27">
        <f>$CI$31*12*DR38</f>
        <v>8371.2479999999996</v>
      </c>
      <c r="DS31" s="41">
        <v>1.37</v>
      </c>
      <c r="DT31" s="27">
        <f>$CI$31*12*DT38</f>
        <v>16343.004000000001</v>
      </c>
      <c r="DU31" s="41">
        <v>1.37</v>
      </c>
      <c r="DV31" s="27">
        <f>$CI$31*12*DV38</f>
        <v>9352.7160000000003</v>
      </c>
      <c r="DW31" s="41">
        <v>1.37</v>
      </c>
      <c r="DX31" s="27">
        <f>$CI$31*12*DX38</f>
        <v>7417.7280000000001</v>
      </c>
      <c r="DY31" s="41">
        <v>1.37</v>
      </c>
      <c r="DZ31" s="27">
        <f>$CI$31*12*DZ38</f>
        <v>7468.6920000000009</v>
      </c>
      <c r="EA31" s="41">
        <v>1.37</v>
      </c>
      <c r="EB31" s="27">
        <f>$CI$31*12*EB38</f>
        <v>7672.5480000000007</v>
      </c>
      <c r="EC31" s="41">
        <v>1.37</v>
      </c>
      <c r="ED31" s="27">
        <f>$CI$31*12*ED38</f>
        <v>8775.6720000000005</v>
      </c>
      <c r="EE31" s="41">
        <v>1.37</v>
      </c>
      <c r="EF31" s="27">
        <f>$CI$31*12*EF38</f>
        <v>7707.072000000001</v>
      </c>
      <c r="EG31" s="41">
        <v>1.37</v>
      </c>
      <c r="EH31" s="27">
        <f>$CI$31*12*EH38</f>
        <v>8483.0400000000009</v>
      </c>
      <c r="EI31" s="41">
        <v>1.37</v>
      </c>
      <c r="EJ31" s="27">
        <f>$CI$31*12*EJ38</f>
        <v>9290.2440000000006</v>
      </c>
      <c r="EK31" s="123" t="s">
        <v>200</v>
      </c>
      <c r="EL31" s="40" t="s">
        <v>128</v>
      </c>
      <c r="EM31" s="41">
        <v>1.34</v>
      </c>
      <c r="EN31" s="27">
        <f>$EM$31*12*EN38</f>
        <v>7877.5920000000006</v>
      </c>
      <c r="EO31" s="27">
        <f>$EM$31*12*EO38</f>
        <v>7523.8320000000003</v>
      </c>
      <c r="EP31" s="27">
        <f>$EM$31*12*EP38</f>
        <v>7877.5920000000006</v>
      </c>
      <c r="EQ31" s="41">
        <v>1.34</v>
      </c>
      <c r="ER31" s="27">
        <f>$EM$31*12*ER38</f>
        <v>7491.6720000000005</v>
      </c>
      <c r="ES31" s="123" t="s">
        <v>147</v>
      </c>
      <c r="ET31" s="40" t="s">
        <v>148</v>
      </c>
      <c r="EU31" s="41">
        <v>1.48</v>
      </c>
      <c r="EV31" s="27">
        <f>$EU$31*12*EV38</f>
        <v>8096.7839999999987</v>
      </c>
      <c r="EW31" s="54">
        <f>$EU$31*12*EW38</f>
        <v>7384.6079999999993</v>
      </c>
      <c r="EX31" s="54">
        <f>$EU$31*12*EX38</f>
        <v>8272.6080000000002</v>
      </c>
      <c r="EY31" s="61" t="s">
        <v>229</v>
      </c>
      <c r="EZ31" s="132" t="s">
        <v>168</v>
      </c>
      <c r="FA31" s="90">
        <v>1.74</v>
      </c>
      <c r="FB31" s="85">
        <f>1.74*12*FB38</f>
        <v>82398.744000000006</v>
      </c>
      <c r="FC31" s="85">
        <f>1.74*12*FC38</f>
        <v>48216.09599999999</v>
      </c>
      <c r="FD31" s="85">
        <f>1.74*12*FD38</f>
        <v>46100.951999999997</v>
      </c>
      <c r="FE31" s="88">
        <v>1.17</v>
      </c>
      <c r="FF31" s="89">
        <f>1.17*12*FF38</f>
        <v>52866.216</v>
      </c>
      <c r="FG31" s="88">
        <v>1.17</v>
      </c>
      <c r="FH31" s="113">
        <f>1.17*12*FH38</f>
        <v>50716.692000000003</v>
      </c>
      <c r="FI31" s="112"/>
      <c r="FJ31" s="112"/>
      <c r="FK31" s="2"/>
    </row>
    <row r="32" spans="1:169" s="28" customFormat="1" ht="78.75" customHeight="1" x14ac:dyDescent="0.2">
      <c r="A32" s="32" t="s">
        <v>201</v>
      </c>
      <c r="B32" s="40" t="s">
        <v>24</v>
      </c>
      <c r="C32" s="41">
        <v>1.69</v>
      </c>
      <c r="D32" s="27">
        <f t="shared" ref="D32:AI32" si="118">$C$32*12*D38</f>
        <v>9787.1280000000006</v>
      </c>
      <c r="E32" s="27">
        <f t="shared" si="118"/>
        <v>11987.508000000002</v>
      </c>
      <c r="F32" s="27">
        <f t="shared" si="118"/>
        <v>9355.1640000000007</v>
      </c>
      <c r="G32" s="27">
        <f t="shared" si="118"/>
        <v>8659.5600000000013</v>
      </c>
      <c r="H32" s="27">
        <f t="shared" si="118"/>
        <v>27651.780000000002</v>
      </c>
      <c r="I32" s="27">
        <f t="shared" si="118"/>
        <v>11819.183999999999</v>
      </c>
      <c r="J32" s="27">
        <f t="shared" si="118"/>
        <v>11772.54</v>
      </c>
      <c r="K32" s="27">
        <f t="shared" si="118"/>
        <v>11198.616000000002</v>
      </c>
      <c r="L32" s="27">
        <f t="shared" si="118"/>
        <v>11446.032000000001</v>
      </c>
      <c r="M32" s="27">
        <f t="shared" si="118"/>
        <v>12234.923999999999</v>
      </c>
      <c r="N32" s="27">
        <f t="shared" si="118"/>
        <v>7016.88</v>
      </c>
      <c r="O32" s="27">
        <f t="shared" si="118"/>
        <v>16406.52</v>
      </c>
      <c r="P32" s="27">
        <f t="shared" si="118"/>
        <v>11760.371999999999</v>
      </c>
      <c r="Q32" s="27">
        <f t="shared" si="118"/>
        <v>9428.1720000000005</v>
      </c>
      <c r="R32" s="27">
        <f t="shared" si="118"/>
        <v>10606.44</v>
      </c>
      <c r="S32" s="27">
        <f t="shared" si="118"/>
        <v>14769.923999999999</v>
      </c>
      <c r="T32" s="27">
        <f t="shared" si="118"/>
        <v>12133.523999999999</v>
      </c>
      <c r="U32" s="27">
        <f t="shared" si="118"/>
        <v>9276.0720000000001</v>
      </c>
      <c r="V32" s="27">
        <f t="shared" si="118"/>
        <v>9639.0840000000007</v>
      </c>
      <c r="W32" s="27">
        <f t="shared" si="118"/>
        <v>9338.94</v>
      </c>
      <c r="X32" s="27">
        <f t="shared" si="118"/>
        <v>14782.092000000001</v>
      </c>
      <c r="Y32" s="27">
        <f t="shared" si="118"/>
        <v>9383.5560000000005</v>
      </c>
      <c r="Z32" s="27">
        <f t="shared" si="118"/>
        <v>9245.652</v>
      </c>
      <c r="AA32" s="27">
        <f t="shared" si="118"/>
        <v>10474.620000000001</v>
      </c>
      <c r="AB32" s="27">
        <f t="shared" si="118"/>
        <v>10482.732</v>
      </c>
      <c r="AC32" s="27">
        <f t="shared" si="118"/>
        <v>10415.808000000001</v>
      </c>
      <c r="AD32" s="27">
        <f t="shared" si="118"/>
        <v>9582.3000000000011</v>
      </c>
      <c r="AE32" s="27">
        <f t="shared" si="118"/>
        <v>9671.5319999999992</v>
      </c>
      <c r="AF32" s="27">
        <f t="shared" si="118"/>
        <v>9787.1280000000006</v>
      </c>
      <c r="AG32" s="27">
        <f t="shared" si="118"/>
        <v>9608.6640000000007</v>
      </c>
      <c r="AH32" s="27">
        <f t="shared" si="118"/>
        <v>10515.18</v>
      </c>
      <c r="AI32" s="27">
        <f t="shared" si="118"/>
        <v>11431.836000000001</v>
      </c>
      <c r="AJ32" s="27">
        <f t="shared" ref="AJ32:BO32" si="119">$C$32*12*AJ38</f>
        <v>9768.8760000000002</v>
      </c>
      <c r="AK32" s="27">
        <f t="shared" si="119"/>
        <v>17779.476000000002</v>
      </c>
      <c r="AL32" s="27">
        <f t="shared" si="119"/>
        <v>9633</v>
      </c>
      <c r="AM32" s="27">
        <f t="shared" si="119"/>
        <v>9245.652</v>
      </c>
      <c r="AN32" s="27">
        <f t="shared" si="119"/>
        <v>8698.0920000000006</v>
      </c>
      <c r="AO32" s="27">
        <f t="shared" si="119"/>
        <v>14757.756000000001</v>
      </c>
      <c r="AP32" s="27">
        <f t="shared" si="119"/>
        <v>8507.4600000000009</v>
      </c>
      <c r="AQ32" s="27">
        <f t="shared" si="119"/>
        <v>12074.712</v>
      </c>
      <c r="AR32" s="27">
        <f t="shared" si="119"/>
        <v>15005.172</v>
      </c>
      <c r="AS32" s="27">
        <f t="shared" si="119"/>
        <v>19760.832000000002</v>
      </c>
      <c r="AT32" s="27">
        <f t="shared" si="119"/>
        <v>11525.124</v>
      </c>
      <c r="AU32" s="27">
        <f t="shared" si="119"/>
        <v>13463.892</v>
      </c>
      <c r="AV32" s="27">
        <f t="shared" si="119"/>
        <v>10776.791999999999</v>
      </c>
      <c r="AW32" s="27">
        <f t="shared" si="119"/>
        <v>8552.0760000000009</v>
      </c>
      <c r="AX32" s="27">
        <f t="shared" si="119"/>
        <v>9600.5519999999997</v>
      </c>
      <c r="AY32" s="27">
        <f t="shared" si="119"/>
        <v>11026.236000000001</v>
      </c>
      <c r="AZ32" s="27">
        <f t="shared" si="119"/>
        <v>10482.732</v>
      </c>
      <c r="BA32" s="27">
        <f t="shared" si="119"/>
        <v>11902.332</v>
      </c>
      <c r="BB32" s="27">
        <f t="shared" si="119"/>
        <v>8868.4440000000013</v>
      </c>
      <c r="BC32" s="27">
        <f t="shared" si="119"/>
        <v>8744.7360000000008</v>
      </c>
      <c r="BD32" s="27">
        <f t="shared" si="119"/>
        <v>10659.168000000001</v>
      </c>
      <c r="BE32" s="27">
        <f t="shared" si="119"/>
        <v>10286.016</v>
      </c>
      <c r="BF32" s="27">
        <f t="shared" si="119"/>
        <v>10097.412</v>
      </c>
      <c r="BG32" s="27">
        <f t="shared" si="119"/>
        <v>9034.74</v>
      </c>
      <c r="BH32" s="27">
        <f t="shared" si="119"/>
        <v>8734.5959999999995</v>
      </c>
      <c r="BI32" s="27">
        <f t="shared" si="119"/>
        <v>10890.36</v>
      </c>
      <c r="BJ32" s="27">
        <f t="shared" si="119"/>
        <v>10876.163999999999</v>
      </c>
      <c r="BK32" s="27">
        <f t="shared" si="119"/>
        <v>9616.7759999999998</v>
      </c>
      <c r="BL32" s="27">
        <f t="shared" si="119"/>
        <v>14930.136000000002</v>
      </c>
      <c r="BM32" s="27">
        <f t="shared" si="119"/>
        <v>14954.472</v>
      </c>
      <c r="BN32" s="27">
        <f t="shared" si="119"/>
        <v>9389.6400000000012</v>
      </c>
      <c r="BO32" s="27">
        <f t="shared" si="119"/>
        <v>11324.352000000001</v>
      </c>
      <c r="BP32" s="41">
        <v>1.69</v>
      </c>
      <c r="BQ32" s="27">
        <f>$C$32*12*BQ38</f>
        <v>9886.5</v>
      </c>
      <c r="BR32" s="123" t="s">
        <v>201</v>
      </c>
      <c r="BS32" s="40" t="s">
        <v>24</v>
      </c>
      <c r="BT32" s="41">
        <v>1.23</v>
      </c>
      <c r="BU32" s="27">
        <f>$BT$32*12*BU38</f>
        <v>6729.0839999999998</v>
      </c>
      <c r="BV32" s="27">
        <f>$BT$32*12*BV38</f>
        <v>6786.6480000000001</v>
      </c>
      <c r="BW32" s="27">
        <f>$BT$32*12*BW38</f>
        <v>7633.8720000000003</v>
      </c>
      <c r="BX32" s="27">
        <f>$BT$32*12*BX38</f>
        <v>7617.6360000000004</v>
      </c>
      <c r="BY32" s="123" t="s">
        <v>212</v>
      </c>
      <c r="BZ32" s="40" t="s">
        <v>24</v>
      </c>
      <c r="CA32" s="41">
        <v>1.8</v>
      </c>
      <c r="CB32" s="27">
        <f>$CA$32*12*CB38</f>
        <v>9815.0400000000009</v>
      </c>
      <c r="CC32" s="27">
        <f>$CA$32*12*CC38</f>
        <v>9983.52</v>
      </c>
      <c r="CD32" s="27">
        <f>$CA$32*12*CD38</f>
        <v>10214.64</v>
      </c>
      <c r="CE32" s="27">
        <f>$CA$32*12*CE38</f>
        <v>9884.1600000000017</v>
      </c>
      <c r="CF32" s="27">
        <f>$CA$32*12*CF38</f>
        <v>9996.4800000000014</v>
      </c>
      <c r="CG32" s="123" t="s">
        <v>201</v>
      </c>
      <c r="CH32" s="40" t="s">
        <v>24</v>
      </c>
      <c r="CI32" s="41">
        <v>0</v>
      </c>
      <c r="CJ32" s="27">
        <f t="shared" ref="CJ32:DJ32" si="120">$CI$32*12*CJ38</f>
        <v>0</v>
      </c>
      <c r="CK32" s="27">
        <f t="shared" si="120"/>
        <v>0</v>
      </c>
      <c r="CL32" s="27">
        <f t="shared" si="120"/>
        <v>0</v>
      </c>
      <c r="CM32" s="27">
        <f t="shared" si="120"/>
        <v>0</v>
      </c>
      <c r="CN32" s="27">
        <f t="shared" si="120"/>
        <v>0</v>
      </c>
      <c r="CO32" s="27">
        <f t="shared" si="120"/>
        <v>0</v>
      </c>
      <c r="CP32" s="27">
        <f t="shared" si="120"/>
        <v>0</v>
      </c>
      <c r="CQ32" s="27">
        <f t="shared" si="120"/>
        <v>0</v>
      </c>
      <c r="CR32" s="27">
        <f t="shared" si="120"/>
        <v>0</v>
      </c>
      <c r="CS32" s="27">
        <f t="shared" si="120"/>
        <v>0</v>
      </c>
      <c r="CT32" s="27">
        <f t="shared" si="120"/>
        <v>0</v>
      </c>
      <c r="CU32" s="27">
        <f t="shared" si="120"/>
        <v>0</v>
      </c>
      <c r="CV32" s="27">
        <f t="shared" si="120"/>
        <v>0</v>
      </c>
      <c r="CW32" s="27">
        <f t="shared" si="120"/>
        <v>0</v>
      </c>
      <c r="CX32" s="27">
        <f t="shared" si="120"/>
        <v>0</v>
      </c>
      <c r="CY32" s="27">
        <f t="shared" si="120"/>
        <v>0</v>
      </c>
      <c r="CZ32" s="27">
        <f t="shared" si="120"/>
        <v>0</v>
      </c>
      <c r="DA32" s="27">
        <f t="shared" si="120"/>
        <v>0</v>
      </c>
      <c r="DB32" s="27">
        <f t="shared" si="120"/>
        <v>0</v>
      </c>
      <c r="DC32" s="27">
        <f t="shared" si="120"/>
        <v>0</v>
      </c>
      <c r="DD32" s="27">
        <f t="shared" si="120"/>
        <v>0</v>
      </c>
      <c r="DE32" s="27">
        <f t="shared" si="120"/>
        <v>0</v>
      </c>
      <c r="DF32" s="27">
        <f t="shared" si="120"/>
        <v>0</v>
      </c>
      <c r="DG32" s="27">
        <f t="shared" si="120"/>
        <v>0</v>
      </c>
      <c r="DH32" s="27">
        <f t="shared" si="120"/>
        <v>0</v>
      </c>
      <c r="DI32" s="27">
        <f>$CI$32*12*DI38</f>
        <v>0</v>
      </c>
      <c r="DJ32" s="27">
        <f t="shared" si="120"/>
        <v>0</v>
      </c>
      <c r="DK32" s="41">
        <v>0</v>
      </c>
      <c r="DL32" s="27">
        <f>$CI$32*12*DL38</f>
        <v>0</v>
      </c>
      <c r="DM32" s="41">
        <v>0</v>
      </c>
      <c r="DN32" s="27">
        <f>$CI$32*12*DN38</f>
        <v>0</v>
      </c>
      <c r="DO32" s="41">
        <v>0</v>
      </c>
      <c r="DP32" s="27">
        <f>$CI$32*12*DP38</f>
        <v>0</v>
      </c>
      <c r="DQ32" s="41">
        <v>0</v>
      </c>
      <c r="DR32" s="27">
        <f>$CI$32*12*DR38</f>
        <v>0</v>
      </c>
      <c r="DS32" s="41">
        <v>0</v>
      </c>
      <c r="DT32" s="27">
        <f>$CI$32*12*DT38</f>
        <v>0</v>
      </c>
      <c r="DU32" s="41">
        <v>0</v>
      </c>
      <c r="DV32" s="27">
        <f>$CI$32*12*DV38</f>
        <v>0</v>
      </c>
      <c r="DW32" s="41">
        <v>0</v>
      </c>
      <c r="DX32" s="27">
        <f>$CI$32*12*DX38</f>
        <v>0</v>
      </c>
      <c r="DY32" s="41">
        <v>0</v>
      </c>
      <c r="DZ32" s="27">
        <f>$CI$32*12*DZ38</f>
        <v>0</v>
      </c>
      <c r="EA32" s="41">
        <v>0</v>
      </c>
      <c r="EB32" s="27">
        <f>$CI$32*12*EB38</f>
        <v>0</v>
      </c>
      <c r="EC32" s="41">
        <v>0</v>
      </c>
      <c r="ED32" s="27">
        <f>$CI$32*12*ED38</f>
        <v>0</v>
      </c>
      <c r="EE32" s="41">
        <v>0</v>
      </c>
      <c r="EF32" s="27">
        <f>$CI$32*12*EF38</f>
        <v>0</v>
      </c>
      <c r="EG32" s="41">
        <v>0</v>
      </c>
      <c r="EH32" s="27">
        <f>$CI$32*12*EH38</f>
        <v>0</v>
      </c>
      <c r="EI32" s="41">
        <v>0</v>
      </c>
      <c r="EJ32" s="27">
        <f>$CI$32*12*EJ38</f>
        <v>0</v>
      </c>
      <c r="EK32" s="123" t="s">
        <v>201</v>
      </c>
      <c r="EL32" s="40" t="s">
        <v>24</v>
      </c>
      <c r="EM32" s="41">
        <v>0</v>
      </c>
      <c r="EN32" s="27">
        <f>$EM$32*12*EN38</f>
        <v>0</v>
      </c>
      <c r="EO32" s="27">
        <f>$EM$32*12*EO38</f>
        <v>0</v>
      </c>
      <c r="EP32" s="27">
        <f>$EM$32*12*EP38</f>
        <v>0</v>
      </c>
      <c r="EQ32" s="41">
        <v>0</v>
      </c>
      <c r="ER32" s="27">
        <f>$EM$32*12*ER38</f>
        <v>0</v>
      </c>
      <c r="ES32" s="123" t="s">
        <v>149</v>
      </c>
      <c r="ET32" s="40" t="s">
        <v>24</v>
      </c>
      <c r="EU32" s="41">
        <v>0</v>
      </c>
      <c r="EV32" s="27">
        <f>$EU$32*12*EV38</f>
        <v>0</v>
      </c>
      <c r="EW32" s="54">
        <f>$EU$32*12*EW38</f>
        <v>0</v>
      </c>
      <c r="EX32" s="54">
        <f>$EU$32*12*EX38</f>
        <v>0</v>
      </c>
      <c r="EY32" s="61" t="s">
        <v>230</v>
      </c>
      <c r="EZ32" s="132" t="s">
        <v>4</v>
      </c>
      <c r="FA32" s="90">
        <v>1.25</v>
      </c>
      <c r="FB32" s="85">
        <f>1.25*12*FB38</f>
        <v>59194.5</v>
      </c>
      <c r="FC32" s="85">
        <f>1.25*12*FC38</f>
        <v>34638</v>
      </c>
      <c r="FD32" s="85">
        <f>1.25*12*FD38</f>
        <v>33118.5</v>
      </c>
      <c r="FE32" s="88">
        <v>1.55</v>
      </c>
      <c r="FF32" s="89">
        <f>1.55*12*FF38</f>
        <v>70036.44</v>
      </c>
      <c r="FG32" s="88">
        <v>1.55</v>
      </c>
      <c r="FH32" s="113">
        <f>1.55*12*FH38</f>
        <v>67188.780000000013</v>
      </c>
      <c r="FI32" s="112"/>
      <c r="FJ32" s="112"/>
      <c r="FK32" s="94"/>
      <c r="FL32" s="142"/>
      <c r="FM32" s="142"/>
    </row>
    <row r="33" spans="1:171" s="28" customFormat="1" ht="33" customHeight="1" x14ac:dyDescent="0.2">
      <c r="A33" s="32" t="s">
        <v>202</v>
      </c>
      <c r="B33" s="40" t="s">
        <v>3</v>
      </c>
      <c r="C33" s="41">
        <v>0.94</v>
      </c>
      <c r="D33" s="27">
        <f t="shared" ref="D33:AI33" si="121">$C$33*12*D38</f>
        <v>5443.7280000000001</v>
      </c>
      <c r="E33" s="27">
        <f t="shared" si="121"/>
        <v>6667.6080000000002</v>
      </c>
      <c r="F33" s="27">
        <f t="shared" si="121"/>
        <v>5203.4639999999999</v>
      </c>
      <c r="G33" s="27">
        <f t="shared" si="121"/>
        <v>4816.5599999999995</v>
      </c>
      <c r="H33" s="27">
        <f t="shared" si="121"/>
        <v>15380.279999999999</v>
      </c>
      <c r="I33" s="27">
        <f t="shared" si="121"/>
        <v>6573.9839999999995</v>
      </c>
      <c r="J33" s="27">
        <f t="shared" si="121"/>
        <v>6548.04</v>
      </c>
      <c r="K33" s="27">
        <f t="shared" si="121"/>
        <v>6228.8159999999998</v>
      </c>
      <c r="L33" s="27">
        <f t="shared" si="121"/>
        <v>6366.4319999999998</v>
      </c>
      <c r="M33" s="27">
        <f t="shared" si="121"/>
        <v>6805.2239999999993</v>
      </c>
      <c r="N33" s="27">
        <f t="shared" si="121"/>
        <v>3902.8799999999997</v>
      </c>
      <c r="O33" s="27">
        <f t="shared" si="121"/>
        <v>9125.5199999999986</v>
      </c>
      <c r="P33" s="27">
        <f t="shared" si="121"/>
        <v>6541.271999999999</v>
      </c>
      <c r="Q33" s="27">
        <f t="shared" si="121"/>
        <v>5244.0719999999992</v>
      </c>
      <c r="R33" s="27">
        <f t="shared" si="121"/>
        <v>5899.44</v>
      </c>
      <c r="S33" s="27">
        <f t="shared" si="121"/>
        <v>8215.2239999999983</v>
      </c>
      <c r="T33" s="27">
        <f t="shared" si="121"/>
        <v>6748.8239999999987</v>
      </c>
      <c r="U33" s="27">
        <f t="shared" si="121"/>
        <v>5159.4719999999998</v>
      </c>
      <c r="V33" s="27">
        <f t="shared" si="121"/>
        <v>5361.384</v>
      </c>
      <c r="W33" s="27">
        <f t="shared" si="121"/>
        <v>5194.4399999999996</v>
      </c>
      <c r="X33" s="27">
        <f t="shared" si="121"/>
        <v>8221.9919999999984</v>
      </c>
      <c r="Y33" s="27">
        <f t="shared" si="121"/>
        <v>5219.2559999999994</v>
      </c>
      <c r="Z33" s="27">
        <f t="shared" si="121"/>
        <v>5142.5519999999997</v>
      </c>
      <c r="AA33" s="27">
        <f t="shared" si="121"/>
        <v>5826.12</v>
      </c>
      <c r="AB33" s="27">
        <f t="shared" si="121"/>
        <v>5830.6319999999996</v>
      </c>
      <c r="AC33" s="27">
        <f t="shared" si="121"/>
        <v>5793.4080000000004</v>
      </c>
      <c r="AD33" s="27">
        <f t="shared" si="121"/>
        <v>5329.7999999999993</v>
      </c>
      <c r="AE33" s="27">
        <f t="shared" si="121"/>
        <v>5379.4319999999998</v>
      </c>
      <c r="AF33" s="27">
        <f t="shared" si="121"/>
        <v>5443.7280000000001</v>
      </c>
      <c r="AG33" s="27">
        <f t="shared" si="121"/>
        <v>5344.4639999999999</v>
      </c>
      <c r="AH33" s="27">
        <f t="shared" si="121"/>
        <v>5848.6799999999994</v>
      </c>
      <c r="AI33" s="27">
        <f t="shared" si="121"/>
        <v>6358.5360000000001</v>
      </c>
      <c r="AJ33" s="27">
        <f t="shared" ref="AJ33:BO33" si="122">$C$33*12*AJ38</f>
        <v>5433.5759999999991</v>
      </c>
      <c r="AK33" s="27">
        <f t="shared" si="122"/>
        <v>9889.1759999999995</v>
      </c>
      <c r="AL33" s="27">
        <f t="shared" si="122"/>
        <v>5358</v>
      </c>
      <c r="AM33" s="27">
        <f t="shared" si="122"/>
        <v>5142.5519999999997</v>
      </c>
      <c r="AN33" s="27">
        <f t="shared" si="122"/>
        <v>4837.9919999999993</v>
      </c>
      <c r="AO33" s="27">
        <f t="shared" si="122"/>
        <v>8208.4560000000001</v>
      </c>
      <c r="AP33" s="27">
        <f t="shared" si="122"/>
        <v>4731.96</v>
      </c>
      <c r="AQ33" s="27">
        <f t="shared" si="122"/>
        <v>6716.1119999999992</v>
      </c>
      <c r="AR33" s="27">
        <f t="shared" si="122"/>
        <v>8346.0720000000001</v>
      </c>
      <c r="AS33" s="27">
        <f t="shared" si="122"/>
        <v>10991.232</v>
      </c>
      <c r="AT33" s="27">
        <f t="shared" si="122"/>
        <v>6410.4239999999991</v>
      </c>
      <c r="AU33" s="27">
        <f t="shared" si="122"/>
        <v>7488.7919999999995</v>
      </c>
      <c r="AV33" s="27">
        <f t="shared" si="122"/>
        <v>5994.1919999999991</v>
      </c>
      <c r="AW33" s="27">
        <f t="shared" si="122"/>
        <v>4756.7759999999998</v>
      </c>
      <c r="AX33" s="27">
        <f t="shared" si="122"/>
        <v>5339.9519999999993</v>
      </c>
      <c r="AY33" s="27">
        <f t="shared" si="122"/>
        <v>6132.9360000000006</v>
      </c>
      <c r="AZ33" s="27">
        <f t="shared" si="122"/>
        <v>5830.6319999999996</v>
      </c>
      <c r="BA33" s="27">
        <f t="shared" si="122"/>
        <v>6620.2319999999991</v>
      </c>
      <c r="BB33" s="27">
        <f t="shared" si="122"/>
        <v>4932.7439999999997</v>
      </c>
      <c r="BC33" s="27">
        <f t="shared" si="122"/>
        <v>4863.9359999999997</v>
      </c>
      <c r="BD33" s="27">
        <f t="shared" si="122"/>
        <v>5928.768</v>
      </c>
      <c r="BE33" s="27">
        <f t="shared" si="122"/>
        <v>5721.2159999999994</v>
      </c>
      <c r="BF33" s="27">
        <f t="shared" si="122"/>
        <v>5616.311999999999</v>
      </c>
      <c r="BG33" s="27">
        <f t="shared" si="122"/>
        <v>5025.24</v>
      </c>
      <c r="BH33" s="27">
        <f t="shared" si="122"/>
        <v>4858.2959999999994</v>
      </c>
      <c r="BI33" s="27">
        <f t="shared" si="122"/>
        <v>6057.36</v>
      </c>
      <c r="BJ33" s="27">
        <f t="shared" si="122"/>
        <v>6049.463999999999</v>
      </c>
      <c r="BK33" s="27">
        <f t="shared" si="122"/>
        <v>5348.9759999999997</v>
      </c>
      <c r="BL33" s="27">
        <f t="shared" si="122"/>
        <v>8304.3359999999993</v>
      </c>
      <c r="BM33" s="27">
        <f t="shared" si="122"/>
        <v>8317.8719999999994</v>
      </c>
      <c r="BN33" s="27">
        <f t="shared" si="122"/>
        <v>5222.6399999999994</v>
      </c>
      <c r="BO33" s="27">
        <f t="shared" si="122"/>
        <v>6298.7519999999995</v>
      </c>
      <c r="BP33" s="41">
        <v>0.94</v>
      </c>
      <c r="BQ33" s="27">
        <f>$C$33*12*BQ38</f>
        <v>5499</v>
      </c>
      <c r="BR33" s="123" t="s">
        <v>202</v>
      </c>
      <c r="BS33" s="41" t="s">
        <v>3</v>
      </c>
      <c r="BT33" s="41">
        <v>1.02</v>
      </c>
      <c r="BU33" s="27">
        <f>$BT$33*12*BU38</f>
        <v>5580.2159999999994</v>
      </c>
      <c r="BV33" s="27">
        <f>$BT$33*12*BV38</f>
        <v>5627.9520000000002</v>
      </c>
      <c r="BW33" s="27">
        <f>$BT$33*12*BW38</f>
        <v>6330.5280000000002</v>
      </c>
      <c r="BX33" s="27">
        <f>$BT$33*12*BX38</f>
        <v>6317.0640000000003</v>
      </c>
      <c r="BY33" s="123" t="s">
        <v>213</v>
      </c>
      <c r="BZ33" s="41" t="s">
        <v>3</v>
      </c>
      <c r="CA33" s="41">
        <v>0.99</v>
      </c>
      <c r="CB33" s="27">
        <f>$CA$33*12*CB38</f>
        <v>5398.271999999999</v>
      </c>
      <c r="CC33" s="27">
        <f>$CA$33*12*CC38</f>
        <v>5490.9359999999997</v>
      </c>
      <c r="CD33" s="27">
        <f>$CA$33*12*CD38</f>
        <v>5618.0519999999997</v>
      </c>
      <c r="CE33" s="27">
        <f>$CA$33*12*CE38</f>
        <v>5436.2879999999996</v>
      </c>
      <c r="CF33" s="27">
        <f>$CA$33*12*CF38</f>
        <v>5498.0639999999994</v>
      </c>
      <c r="CG33" s="123" t="s">
        <v>202</v>
      </c>
      <c r="CH33" s="41" t="s">
        <v>3</v>
      </c>
      <c r="CI33" s="41">
        <v>0.94</v>
      </c>
      <c r="CJ33" s="27">
        <f t="shared" ref="CJ33:DJ33" si="123">$CI$33*12*CJ38</f>
        <v>5053.4399999999996</v>
      </c>
      <c r="CK33" s="27">
        <f t="shared" si="123"/>
        <v>6373.2</v>
      </c>
      <c r="CL33" s="27">
        <f t="shared" si="123"/>
        <v>6385.6080000000002</v>
      </c>
      <c r="CM33" s="27">
        <f t="shared" si="123"/>
        <v>5413.271999999999</v>
      </c>
      <c r="CN33" s="27">
        <f t="shared" si="123"/>
        <v>6286.3439999999991</v>
      </c>
      <c r="CO33" s="27">
        <f t="shared" si="123"/>
        <v>8114.8319999999994</v>
      </c>
      <c r="CP33" s="27">
        <f t="shared" si="123"/>
        <v>5407.6319999999996</v>
      </c>
      <c r="CQ33" s="27">
        <f t="shared" si="123"/>
        <v>5215.8719999999994</v>
      </c>
      <c r="CR33" s="27">
        <f t="shared" si="123"/>
        <v>4742.1119999999992</v>
      </c>
      <c r="CS33" s="27">
        <f t="shared" si="123"/>
        <v>9995.2080000000005</v>
      </c>
      <c r="CT33" s="27">
        <f t="shared" si="123"/>
        <v>8161.08</v>
      </c>
      <c r="CU33" s="27">
        <f t="shared" si="123"/>
        <v>6350.6399999999994</v>
      </c>
      <c r="CV33" s="27">
        <f t="shared" si="123"/>
        <v>6496.1519999999991</v>
      </c>
      <c r="CW33" s="27">
        <f t="shared" si="123"/>
        <v>3907.3919999999994</v>
      </c>
      <c r="CX33" s="27">
        <f t="shared" si="123"/>
        <v>6872.9039999999995</v>
      </c>
      <c r="CY33" s="27">
        <f t="shared" si="123"/>
        <v>6236.7119999999995</v>
      </c>
      <c r="CZ33" s="27">
        <f t="shared" si="123"/>
        <v>5683.9919999999993</v>
      </c>
      <c r="DA33" s="27">
        <f t="shared" si="123"/>
        <v>5713.32</v>
      </c>
      <c r="DB33" s="27">
        <f t="shared" si="123"/>
        <v>5940.0479999999998</v>
      </c>
      <c r="DC33" s="27">
        <f t="shared" si="123"/>
        <v>5222.6399999999994</v>
      </c>
      <c r="DD33" s="27">
        <f t="shared" si="123"/>
        <v>5847.5519999999997</v>
      </c>
      <c r="DE33" s="27">
        <f t="shared" si="123"/>
        <v>5908.463999999999</v>
      </c>
      <c r="DF33" s="27">
        <f t="shared" si="123"/>
        <v>6358.5360000000001</v>
      </c>
      <c r="DG33" s="27">
        <f t="shared" si="123"/>
        <v>6850.3439999999991</v>
      </c>
      <c r="DH33" s="27">
        <f t="shared" si="123"/>
        <v>7037.5919999999996</v>
      </c>
      <c r="DI33" s="27">
        <f>$CI$33*12*DI38</f>
        <v>5695.271999999999</v>
      </c>
      <c r="DJ33" s="27">
        <f t="shared" si="123"/>
        <v>6191.5919999999996</v>
      </c>
      <c r="DK33" s="41">
        <v>0.94</v>
      </c>
      <c r="DL33" s="27">
        <f>$CI$33*12*DL38</f>
        <v>5526.0719999999992</v>
      </c>
      <c r="DM33" s="41">
        <v>0.94</v>
      </c>
      <c r="DN33" s="27">
        <f>$CI$33*12*DN38</f>
        <v>6254.7599999999993</v>
      </c>
      <c r="DO33" s="41">
        <v>0.94</v>
      </c>
      <c r="DP33" s="27">
        <f>$CI$33*12*DP38</f>
        <v>5698.6559999999999</v>
      </c>
      <c r="DQ33" s="41">
        <v>0.94</v>
      </c>
      <c r="DR33" s="27">
        <f>$CI$33*12*DR38</f>
        <v>5743.7759999999998</v>
      </c>
      <c r="DS33" s="41">
        <v>0.94</v>
      </c>
      <c r="DT33" s="27">
        <f>$CI$33*12*DT38</f>
        <v>11213.448</v>
      </c>
      <c r="DU33" s="41">
        <v>0.94</v>
      </c>
      <c r="DV33" s="27">
        <f>$CI$33*12*DV38</f>
        <v>6417.1919999999991</v>
      </c>
      <c r="DW33" s="41">
        <v>0.94</v>
      </c>
      <c r="DX33" s="27">
        <f>$CI$33*12*DX38</f>
        <v>5089.5359999999991</v>
      </c>
      <c r="DY33" s="41">
        <v>0.94</v>
      </c>
      <c r="DZ33" s="27">
        <f>$CI$33*12*DZ38</f>
        <v>5124.5039999999999</v>
      </c>
      <c r="EA33" s="41">
        <v>0.94</v>
      </c>
      <c r="EB33" s="27">
        <f>$CI$33*12*EB38</f>
        <v>5264.3759999999993</v>
      </c>
      <c r="EC33" s="41">
        <v>0.94</v>
      </c>
      <c r="ED33" s="27">
        <f>$CI$33*12*ED38</f>
        <v>6021.2639999999992</v>
      </c>
      <c r="EE33" s="41">
        <v>0.94</v>
      </c>
      <c r="EF33" s="27">
        <f>$CI$33*12*EF38</f>
        <v>5288.0639999999994</v>
      </c>
      <c r="EG33" s="41">
        <v>0.94</v>
      </c>
      <c r="EH33" s="27">
        <f>$CI$33*12*EH38</f>
        <v>5820.48</v>
      </c>
      <c r="EI33" s="41">
        <v>0.94</v>
      </c>
      <c r="EJ33" s="27">
        <f>$CI$33*12*EJ38</f>
        <v>6374.3279999999995</v>
      </c>
      <c r="EK33" s="123" t="s">
        <v>202</v>
      </c>
      <c r="EL33" s="41" t="s">
        <v>3</v>
      </c>
      <c r="EM33" s="41">
        <v>1.02</v>
      </c>
      <c r="EN33" s="27">
        <f>$EM$33*12*EN38</f>
        <v>5996.3760000000002</v>
      </c>
      <c r="EO33" s="27">
        <f>$EM$33*12*EO38</f>
        <v>5727.0959999999995</v>
      </c>
      <c r="EP33" s="27">
        <f>$EM$33*12*EP38</f>
        <v>5996.3760000000002</v>
      </c>
      <c r="EQ33" s="41">
        <v>1.02</v>
      </c>
      <c r="ER33" s="27">
        <f>$EM$33*12*ER38</f>
        <v>5702.616</v>
      </c>
      <c r="ES33" s="123" t="s">
        <v>150</v>
      </c>
      <c r="ET33" s="41" t="s">
        <v>3</v>
      </c>
      <c r="EU33" s="41">
        <v>0.99</v>
      </c>
      <c r="EV33" s="27">
        <f>$EU$33*12*EV38</f>
        <v>5416.0919999999996</v>
      </c>
      <c r="EW33" s="54">
        <f>$EU$33*12*EW38</f>
        <v>4939.7039999999997</v>
      </c>
      <c r="EX33" s="54">
        <f>$EU$33*12*EX38</f>
        <v>5533.7039999999997</v>
      </c>
      <c r="EY33" s="61" t="s">
        <v>231</v>
      </c>
      <c r="EZ33" s="124" t="s">
        <v>3</v>
      </c>
      <c r="FA33" s="90">
        <v>0.56000000000000005</v>
      </c>
      <c r="FB33" s="85">
        <f>0.56*12*FB38</f>
        <v>26519.136000000002</v>
      </c>
      <c r="FC33" s="85">
        <f>0.56*12*FC38</f>
        <v>15517.824000000001</v>
      </c>
      <c r="FD33" s="85">
        <f>0.56*12*FD38</f>
        <v>14837.088000000002</v>
      </c>
      <c r="FE33" s="88">
        <v>0.56999999999999995</v>
      </c>
      <c r="FF33" s="89">
        <f>0.57*12*FF38</f>
        <v>25755.335999999999</v>
      </c>
      <c r="FG33" s="88">
        <v>0.56999999999999995</v>
      </c>
      <c r="FH33" s="113">
        <f>0.57*12*FH38</f>
        <v>24708.132000000001</v>
      </c>
      <c r="FI33" s="112"/>
      <c r="FJ33" s="112"/>
      <c r="FK33" s="94"/>
      <c r="FL33" s="142"/>
      <c r="FM33" s="142"/>
    </row>
    <row r="34" spans="1:171" s="28" customFormat="1" x14ac:dyDescent="0.2">
      <c r="A34" s="32" t="s">
        <v>203</v>
      </c>
      <c r="B34" s="40" t="s">
        <v>6</v>
      </c>
      <c r="C34" s="41">
        <v>0.33</v>
      </c>
      <c r="D34" s="27">
        <f t="shared" ref="D34:AI34" si="124">$C$34*12*D38</f>
        <v>1911.096</v>
      </c>
      <c r="E34" s="27">
        <f t="shared" si="124"/>
        <v>2340.7559999999999</v>
      </c>
      <c r="F34" s="27">
        <f t="shared" si="124"/>
        <v>1826.748</v>
      </c>
      <c r="G34" s="27">
        <f t="shared" si="124"/>
        <v>1690.92</v>
      </c>
      <c r="H34" s="27">
        <f t="shared" si="124"/>
        <v>5399.46</v>
      </c>
      <c r="I34" s="27">
        <f t="shared" si="124"/>
        <v>2307.8879999999999</v>
      </c>
      <c r="J34" s="27">
        <f t="shared" si="124"/>
        <v>2298.7800000000002</v>
      </c>
      <c r="K34" s="27">
        <f t="shared" si="124"/>
        <v>2186.712</v>
      </c>
      <c r="L34" s="27">
        <f t="shared" si="124"/>
        <v>2235.0239999999999</v>
      </c>
      <c r="M34" s="27">
        <f t="shared" si="124"/>
        <v>2389.0679999999998</v>
      </c>
      <c r="N34" s="27">
        <f t="shared" si="124"/>
        <v>1370.16</v>
      </c>
      <c r="O34" s="27">
        <f t="shared" si="124"/>
        <v>3203.64</v>
      </c>
      <c r="P34" s="27">
        <f t="shared" si="124"/>
        <v>2296.404</v>
      </c>
      <c r="Q34" s="27">
        <f t="shared" si="124"/>
        <v>1841.0039999999999</v>
      </c>
      <c r="R34" s="27">
        <f t="shared" si="124"/>
        <v>2071.08</v>
      </c>
      <c r="S34" s="27">
        <f t="shared" si="124"/>
        <v>2884.0679999999998</v>
      </c>
      <c r="T34" s="27">
        <f t="shared" si="124"/>
        <v>2369.2679999999996</v>
      </c>
      <c r="U34" s="27">
        <f t="shared" si="124"/>
        <v>1811.3039999999999</v>
      </c>
      <c r="V34" s="27">
        <f t="shared" si="124"/>
        <v>1882.1880000000001</v>
      </c>
      <c r="W34" s="27">
        <f t="shared" si="124"/>
        <v>1823.58</v>
      </c>
      <c r="X34" s="27">
        <f t="shared" si="124"/>
        <v>2886.444</v>
      </c>
      <c r="Y34" s="27">
        <f t="shared" si="124"/>
        <v>1832.2919999999999</v>
      </c>
      <c r="Z34" s="27">
        <f t="shared" si="124"/>
        <v>1805.3639999999998</v>
      </c>
      <c r="AA34" s="27">
        <f t="shared" si="124"/>
        <v>2045.34</v>
      </c>
      <c r="AB34" s="27">
        <f t="shared" si="124"/>
        <v>2046.924</v>
      </c>
      <c r="AC34" s="27">
        <f t="shared" si="124"/>
        <v>2033.856</v>
      </c>
      <c r="AD34" s="27">
        <f t="shared" si="124"/>
        <v>1871.1</v>
      </c>
      <c r="AE34" s="27">
        <f t="shared" si="124"/>
        <v>1888.5239999999999</v>
      </c>
      <c r="AF34" s="27">
        <f t="shared" si="124"/>
        <v>1911.096</v>
      </c>
      <c r="AG34" s="27">
        <f t="shared" si="124"/>
        <v>1876.248</v>
      </c>
      <c r="AH34" s="27">
        <f t="shared" si="124"/>
        <v>2053.2599999999998</v>
      </c>
      <c r="AI34" s="27">
        <f t="shared" si="124"/>
        <v>2232.252</v>
      </c>
      <c r="AJ34" s="27">
        <f t="shared" ref="AJ34:BO34" si="125">$C$34*12*AJ38</f>
        <v>1907.5319999999999</v>
      </c>
      <c r="AK34" s="27">
        <f t="shared" si="125"/>
        <v>3471.732</v>
      </c>
      <c r="AL34" s="27">
        <f t="shared" si="125"/>
        <v>1881</v>
      </c>
      <c r="AM34" s="27">
        <f t="shared" si="125"/>
        <v>1805.3639999999998</v>
      </c>
      <c r="AN34" s="27">
        <f t="shared" si="125"/>
        <v>1698.444</v>
      </c>
      <c r="AO34" s="27">
        <f t="shared" si="125"/>
        <v>2881.692</v>
      </c>
      <c r="AP34" s="27">
        <f t="shared" si="125"/>
        <v>1661.22</v>
      </c>
      <c r="AQ34" s="27">
        <f t="shared" si="125"/>
        <v>2357.7840000000001</v>
      </c>
      <c r="AR34" s="27">
        <f t="shared" si="125"/>
        <v>2930.0039999999999</v>
      </c>
      <c r="AS34" s="27">
        <f t="shared" si="125"/>
        <v>3858.6239999999998</v>
      </c>
      <c r="AT34" s="27">
        <f t="shared" si="125"/>
        <v>2250.4679999999998</v>
      </c>
      <c r="AU34" s="27">
        <f t="shared" si="125"/>
        <v>2629.0439999999999</v>
      </c>
      <c r="AV34" s="27">
        <f t="shared" si="125"/>
        <v>2104.3440000000001</v>
      </c>
      <c r="AW34" s="27">
        <f t="shared" si="125"/>
        <v>1669.932</v>
      </c>
      <c r="AX34" s="27">
        <f t="shared" si="125"/>
        <v>1874.664</v>
      </c>
      <c r="AY34" s="27">
        <f t="shared" si="125"/>
        <v>2153.0520000000001</v>
      </c>
      <c r="AZ34" s="27">
        <f t="shared" si="125"/>
        <v>2046.924</v>
      </c>
      <c r="BA34" s="27">
        <f t="shared" si="125"/>
        <v>2324.1239999999998</v>
      </c>
      <c r="BB34" s="27">
        <f t="shared" si="125"/>
        <v>1731.7080000000001</v>
      </c>
      <c r="BC34" s="27">
        <f t="shared" si="125"/>
        <v>1707.5519999999999</v>
      </c>
      <c r="BD34" s="27">
        <f t="shared" si="125"/>
        <v>2081.3760000000002</v>
      </c>
      <c r="BE34" s="27">
        <f t="shared" si="125"/>
        <v>2008.5119999999999</v>
      </c>
      <c r="BF34" s="27">
        <f t="shared" si="125"/>
        <v>1971.684</v>
      </c>
      <c r="BG34" s="27">
        <f t="shared" si="125"/>
        <v>1764.18</v>
      </c>
      <c r="BH34" s="27">
        <f t="shared" si="125"/>
        <v>1705.5719999999999</v>
      </c>
      <c r="BI34" s="27">
        <f t="shared" si="125"/>
        <v>2126.52</v>
      </c>
      <c r="BJ34" s="27">
        <f t="shared" si="125"/>
        <v>2123.7479999999996</v>
      </c>
      <c r="BK34" s="27">
        <f t="shared" si="125"/>
        <v>1877.8319999999999</v>
      </c>
      <c r="BL34" s="27">
        <f t="shared" si="125"/>
        <v>2915.3520000000003</v>
      </c>
      <c r="BM34" s="27">
        <f t="shared" si="125"/>
        <v>2920.1039999999998</v>
      </c>
      <c r="BN34" s="27">
        <f t="shared" si="125"/>
        <v>1833.48</v>
      </c>
      <c r="BO34" s="27">
        <f t="shared" si="125"/>
        <v>2211.2639999999997</v>
      </c>
      <c r="BP34" s="41">
        <v>0.33</v>
      </c>
      <c r="BQ34" s="27">
        <f>$C$34*12*BQ38</f>
        <v>1930.5</v>
      </c>
      <c r="BR34" s="123" t="s">
        <v>203</v>
      </c>
      <c r="BS34" s="41" t="s">
        <v>6</v>
      </c>
      <c r="BT34" s="41">
        <v>0.39</v>
      </c>
      <c r="BU34" s="27">
        <f>$BT$34*12*BU38</f>
        <v>2133.6119999999996</v>
      </c>
      <c r="BV34" s="27">
        <f>$BT$34*12*BV38</f>
        <v>2151.864</v>
      </c>
      <c r="BW34" s="27">
        <f>$BT$34*12*BW38</f>
        <v>2420.4960000000001</v>
      </c>
      <c r="BX34" s="27">
        <f>$BT$34*12*BX38</f>
        <v>2415.348</v>
      </c>
      <c r="BY34" s="123" t="s">
        <v>214</v>
      </c>
      <c r="BZ34" s="41" t="s">
        <v>6</v>
      </c>
      <c r="CA34" s="41">
        <v>0.38</v>
      </c>
      <c r="CB34" s="27">
        <f>$CA$34*12*CB38</f>
        <v>2072.0640000000003</v>
      </c>
      <c r="CC34" s="27">
        <f>$CA$34*12*CC38</f>
        <v>2107.6320000000001</v>
      </c>
      <c r="CD34" s="27">
        <f>$CA$34*12*CD38</f>
        <v>2156.424</v>
      </c>
      <c r="CE34" s="27">
        <f>$CA$34*12*CE38</f>
        <v>2086.6560000000004</v>
      </c>
      <c r="CF34" s="27">
        <f>$CA$34*12*CF38</f>
        <v>2110.3680000000004</v>
      </c>
      <c r="CG34" s="123" t="s">
        <v>203</v>
      </c>
      <c r="CH34" s="41" t="s">
        <v>6</v>
      </c>
      <c r="CI34" s="41">
        <v>0.33</v>
      </c>
      <c r="CJ34" s="27">
        <f t="shared" ref="CJ34:DJ34" si="126">$CI$34*12*CJ38</f>
        <v>1774.08</v>
      </c>
      <c r="CK34" s="27">
        <f t="shared" si="126"/>
        <v>2237.4</v>
      </c>
      <c r="CL34" s="27">
        <f t="shared" si="126"/>
        <v>2241.7559999999999</v>
      </c>
      <c r="CM34" s="27">
        <f t="shared" si="126"/>
        <v>1900.404</v>
      </c>
      <c r="CN34" s="27">
        <f t="shared" si="126"/>
        <v>2206.9079999999999</v>
      </c>
      <c r="CO34" s="27">
        <f t="shared" si="126"/>
        <v>2848.8240000000001</v>
      </c>
      <c r="CP34" s="27">
        <f t="shared" si="126"/>
        <v>1898.424</v>
      </c>
      <c r="CQ34" s="27">
        <f t="shared" si="126"/>
        <v>1831.1039999999998</v>
      </c>
      <c r="CR34" s="27">
        <f t="shared" si="126"/>
        <v>1664.7839999999999</v>
      </c>
      <c r="CS34" s="27">
        <f t="shared" si="126"/>
        <v>3508.9560000000001</v>
      </c>
      <c r="CT34" s="27">
        <f t="shared" si="126"/>
        <v>2865.06</v>
      </c>
      <c r="CU34" s="27">
        <f t="shared" si="126"/>
        <v>2229.48</v>
      </c>
      <c r="CV34" s="27">
        <f t="shared" si="126"/>
        <v>2280.5639999999999</v>
      </c>
      <c r="CW34" s="27">
        <f t="shared" si="126"/>
        <v>1371.7439999999999</v>
      </c>
      <c r="CX34" s="27">
        <f t="shared" si="126"/>
        <v>2412.828</v>
      </c>
      <c r="CY34" s="27">
        <f t="shared" si="126"/>
        <v>2189.4839999999999</v>
      </c>
      <c r="CZ34" s="27">
        <f t="shared" si="126"/>
        <v>1995.444</v>
      </c>
      <c r="DA34" s="27">
        <f t="shared" si="126"/>
        <v>2005.74</v>
      </c>
      <c r="DB34" s="27">
        <f t="shared" si="126"/>
        <v>2085.3360000000002</v>
      </c>
      <c r="DC34" s="27">
        <f t="shared" si="126"/>
        <v>1833.48</v>
      </c>
      <c r="DD34" s="27">
        <f t="shared" si="126"/>
        <v>2052.864</v>
      </c>
      <c r="DE34" s="27">
        <f t="shared" si="126"/>
        <v>2074.2479999999996</v>
      </c>
      <c r="DF34" s="27">
        <f t="shared" si="126"/>
        <v>2232.252</v>
      </c>
      <c r="DG34" s="27">
        <f t="shared" si="126"/>
        <v>2404.9079999999999</v>
      </c>
      <c r="DH34" s="27">
        <f t="shared" si="126"/>
        <v>2470.6439999999998</v>
      </c>
      <c r="DI34" s="27">
        <f>$CI$34*12*DI38</f>
        <v>1999.404</v>
      </c>
      <c r="DJ34" s="27">
        <f t="shared" si="126"/>
        <v>2173.6439999999998</v>
      </c>
      <c r="DK34" s="41">
        <v>0.33</v>
      </c>
      <c r="DL34" s="27">
        <f>$CI$34*12*DL38</f>
        <v>1940.0039999999999</v>
      </c>
      <c r="DM34" s="41">
        <v>0.33</v>
      </c>
      <c r="DN34" s="27">
        <f>$CI$34*12*DN38</f>
        <v>2195.8200000000002</v>
      </c>
      <c r="DO34" s="41">
        <v>0.33</v>
      </c>
      <c r="DP34" s="27">
        <f>$CI$34*12*DP38</f>
        <v>2000.5919999999999</v>
      </c>
      <c r="DQ34" s="41">
        <v>0.33</v>
      </c>
      <c r="DR34" s="27">
        <f>$CI$34*12*DR38</f>
        <v>2016.432</v>
      </c>
      <c r="DS34" s="41">
        <v>0.33</v>
      </c>
      <c r="DT34" s="27">
        <f>$CI$34*12*DT38</f>
        <v>3936.636</v>
      </c>
      <c r="DU34" s="41">
        <v>0.33</v>
      </c>
      <c r="DV34" s="27">
        <f>$CI$34*12*DV38</f>
        <v>2252.8440000000001</v>
      </c>
      <c r="DW34" s="41">
        <v>0.33</v>
      </c>
      <c r="DX34" s="27">
        <f>$CI$34*12*DX38</f>
        <v>1786.752</v>
      </c>
      <c r="DY34" s="41">
        <v>0.33</v>
      </c>
      <c r="DZ34" s="27">
        <f>$CI$34*12*DZ38</f>
        <v>1799.028</v>
      </c>
      <c r="EA34" s="41">
        <v>0.33</v>
      </c>
      <c r="EB34" s="27">
        <f>$CI$34*12*EB38</f>
        <v>1848.1319999999998</v>
      </c>
      <c r="EC34" s="41">
        <v>0.33</v>
      </c>
      <c r="ED34" s="27">
        <f>$CI$34*12*ED38</f>
        <v>2113.848</v>
      </c>
      <c r="EE34" s="41">
        <v>0.33</v>
      </c>
      <c r="EF34" s="27">
        <f>$CI$34*12*EF38</f>
        <v>1856.4480000000001</v>
      </c>
      <c r="EG34" s="41">
        <v>0.33</v>
      </c>
      <c r="EH34" s="27">
        <f>$CI$34*12*EH38</f>
        <v>2043.36</v>
      </c>
      <c r="EI34" s="41">
        <v>0.33</v>
      </c>
      <c r="EJ34" s="27">
        <f>$CI$34*12*EJ38</f>
        <v>2237.7960000000003</v>
      </c>
      <c r="EK34" s="123" t="s">
        <v>203</v>
      </c>
      <c r="EL34" s="41" t="s">
        <v>6</v>
      </c>
      <c r="EM34" s="41">
        <v>0.39</v>
      </c>
      <c r="EN34" s="27">
        <f>$EM$34*12*EN38</f>
        <v>2292.732</v>
      </c>
      <c r="EO34" s="27">
        <f>$EM$34*12*EO38</f>
        <v>2189.7719999999999</v>
      </c>
      <c r="EP34" s="27">
        <f>$EM$34*12*EP38</f>
        <v>2292.732</v>
      </c>
      <c r="EQ34" s="41">
        <v>0.39</v>
      </c>
      <c r="ER34" s="27">
        <f>$EM$34*12*ER38</f>
        <v>2180.4119999999998</v>
      </c>
      <c r="ES34" s="123" t="s">
        <v>151</v>
      </c>
      <c r="ET34" s="41" t="s">
        <v>6</v>
      </c>
      <c r="EU34" s="41">
        <v>0.38</v>
      </c>
      <c r="EV34" s="27">
        <f>$EU$34*12*EV38</f>
        <v>2078.904</v>
      </c>
      <c r="EW34" s="54">
        <f>$EU$34*12*EW38</f>
        <v>1896.0480000000002</v>
      </c>
      <c r="EX34" s="54">
        <f>$EU$34*12*EX38</f>
        <v>2124.0480000000002</v>
      </c>
      <c r="EY34" s="135" t="s">
        <v>169</v>
      </c>
      <c r="EZ34" s="143" t="s">
        <v>170</v>
      </c>
      <c r="FA34" s="144">
        <v>0.03</v>
      </c>
      <c r="FB34" s="65">
        <f>0.03*12*FB38</f>
        <v>1420.6680000000001</v>
      </c>
      <c r="FC34" s="65">
        <f>0.03*12*FC38</f>
        <v>831.3119999999999</v>
      </c>
      <c r="FD34" s="65">
        <f>0.03*12*FD38</f>
        <v>794.84400000000005</v>
      </c>
      <c r="FE34" s="91">
        <v>0.03</v>
      </c>
      <c r="FF34" s="86">
        <f>0.03*12*FF38</f>
        <v>1355.5439999999999</v>
      </c>
      <c r="FG34" s="91">
        <v>0.03</v>
      </c>
      <c r="FH34" s="120">
        <f>0.03*12*FH38</f>
        <v>1300.4280000000001</v>
      </c>
      <c r="FI34" s="160"/>
      <c r="FJ34" s="160"/>
      <c r="FK34" s="161"/>
      <c r="FL34" s="162"/>
      <c r="FM34" s="162"/>
      <c r="FN34" s="162"/>
      <c r="FO34" s="162"/>
    </row>
    <row r="35" spans="1:171" s="142" customFormat="1" x14ac:dyDescent="0.2">
      <c r="A35" s="42" t="s">
        <v>112</v>
      </c>
      <c r="B35" s="121" t="s">
        <v>117</v>
      </c>
      <c r="C35" s="136">
        <f>2.78+0.15</f>
        <v>2.9299999999999997</v>
      </c>
      <c r="D35" s="145">
        <f t="shared" ref="D35:S35" si="127">$C$35*12*D38</f>
        <v>16968.216</v>
      </c>
      <c r="E35" s="145">
        <f t="shared" si="127"/>
        <v>20783.075999999997</v>
      </c>
      <c r="F35" s="145">
        <f t="shared" si="127"/>
        <v>16219.307999999999</v>
      </c>
      <c r="G35" s="145">
        <f t="shared" si="127"/>
        <v>15013.319999999998</v>
      </c>
      <c r="H35" s="145">
        <f t="shared" si="127"/>
        <v>47940.659999999996</v>
      </c>
      <c r="I35" s="145">
        <f t="shared" si="127"/>
        <v>20491.247999999996</v>
      </c>
      <c r="J35" s="145">
        <f t="shared" si="127"/>
        <v>20410.379999999997</v>
      </c>
      <c r="K35" s="145">
        <f t="shared" si="127"/>
        <v>19415.351999999999</v>
      </c>
      <c r="L35" s="145">
        <f t="shared" si="127"/>
        <v>19844.303999999996</v>
      </c>
      <c r="M35" s="145">
        <f t="shared" si="127"/>
        <v>21212.027999999995</v>
      </c>
      <c r="N35" s="145">
        <f t="shared" si="127"/>
        <v>12165.359999999999</v>
      </c>
      <c r="O35" s="145">
        <f t="shared" si="127"/>
        <v>28444.44</v>
      </c>
      <c r="P35" s="145">
        <f t="shared" si="127"/>
        <v>20389.283999999996</v>
      </c>
      <c r="Q35" s="145">
        <f t="shared" si="127"/>
        <v>16345.883999999998</v>
      </c>
      <c r="R35" s="145">
        <f t="shared" si="127"/>
        <v>18388.679999999997</v>
      </c>
      <c r="S35" s="145">
        <f t="shared" si="127"/>
        <v>25607.027999999995</v>
      </c>
      <c r="T35" s="145">
        <f t="shared" ref="T35" si="128">$C$35*12*T38</f>
        <v>21036.227999999996</v>
      </c>
      <c r="U35" s="145">
        <f>$C$35*12*U38</f>
        <v>16082.183999999997</v>
      </c>
      <c r="V35" s="145">
        <f>$C$35*12*V38</f>
        <v>16711.547999999999</v>
      </c>
      <c r="W35" s="145">
        <f>$C$35*12*W38</f>
        <v>16191.179999999998</v>
      </c>
      <c r="X35" s="145">
        <f>$C$35*12*X38</f>
        <v>25628.123999999996</v>
      </c>
      <c r="Y35" s="145">
        <f>$C$35*12*Y38</f>
        <v>16268.531999999997</v>
      </c>
      <c r="Z35" s="145">
        <f t="shared" ref="Z35" si="129">$C$35*12*Z38</f>
        <v>16029.443999999998</v>
      </c>
      <c r="AA35" s="145">
        <f t="shared" ref="AA35:BH35" si="130">$C$35*12*AA38</f>
        <v>18160.14</v>
      </c>
      <c r="AB35" s="145">
        <f t="shared" si="130"/>
        <v>18174.203999999998</v>
      </c>
      <c r="AC35" s="145">
        <f t="shared" si="130"/>
        <v>18058.175999999999</v>
      </c>
      <c r="AD35" s="145">
        <f t="shared" si="130"/>
        <v>16613.099999999999</v>
      </c>
      <c r="AE35" s="145">
        <f t="shared" si="130"/>
        <v>16767.803999999996</v>
      </c>
      <c r="AF35" s="145">
        <f t="shared" si="130"/>
        <v>16968.216</v>
      </c>
      <c r="AG35" s="145">
        <f t="shared" si="130"/>
        <v>16658.807999999997</v>
      </c>
      <c r="AH35" s="145">
        <f t="shared" si="130"/>
        <v>18230.46</v>
      </c>
      <c r="AI35" s="145">
        <f t="shared" si="130"/>
        <v>19819.691999999999</v>
      </c>
      <c r="AJ35" s="145">
        <f t="shared" si="130"/>
        <v>16936.571999999996</v>
      </c>
      <c r="AK35" s="145">
        <f t="shared" si="130"/>
        <v>30824.771999999997</v>
      </c>
      <c r="AL35" s="145">
        <f t="shared" si="130"/>
        <v>16701</v>
      </c>
      <c r="AM35" s="145">
        <f t="shared" si="130"/>
        <v>16029.443999999998</v>
      </c>
      <c r="AN35" s="145">
        <f t="shared" si="130"/>
        <v>15080.123999999998</v>
      </c>
      <c r="AO35" s="145">
        <f t="shared" si="130"/>
        <v>25585.932000000001</v>
      </c>
      <c r="AP35" s="145">
        <f t="shared" si="130"/>
        <v>14749.619999999999</v>
      </c>
      <c r="AQ35" s="145">
        <f t="shared" si="130"/>
        <v>20934.263999999996</v>
      </c>
      <c r="AR35" s="145">
        <f t="shared" si="130"/>
        <v>26014.883999999998</v>
      </c>
      <c r="AS35" s="145">
        <f t="shared" si="130"/>
        <v>34259.903999999995</v>
      </c>
      <c r="AT35" s="145">
        <f t="shared" si="130"/>
        <v>19981.427999999996</v>
      </c>
      <c r="AU35" s="145">
        <f t="shared" si="130"/>
        <v>23342.723999999998</v>
      </c>
      <c r="AV35" s="145">
        <f t="shared" si="130"/>
        <v>18684.023999999998</v>
      </c>
      <c r="AW35" s="145">
        <f t="shared" si="130"/>
        <v>14826.971999999998</v>
      </c>
      <c r="AX35" s="145">
        <f t="shared" si="130"/>
        <v>16644.743999999999</v>
      </c>
      <c r="AY35" s="145">
        <f t="shared" si="130"/>
        <v>19116.491999999998</v>
      </c>
      <c r="AZ35" s="145">
        <f t="shared" si="130"/>
        <v>18174.203999999998</v>
      </c>
      <c r="BA35" s="145">
        <f t="shared" si="130"/>
        <v>20635.403999999999</v>
      </c>
      <c r="BB35" s="145">
        <f t="shared" si="130"/>
        <v>15375.467999999999</v>
      </c>
      <c r="BC35" s="145">
        <f t="shared" si="130"/>
        <v>15160.991999999998</v>
      </c>
      <c r="BD35" s="145">
        <f t="shared" si="130"/>
        <v>18480.095999999998</v>
      </c>
      <c r="BE35" s="145">
        <f t="shared" si="130"/>
        <v>17833.151999999998</v>
      </c>
      <c r="BF35" s="145">
        <f t="shared" si="130"/>
        <v>17506.163999999997</v>
      </c>
      <c r="BG35" s="145">
        <f t="shared" si="130"/>
        <v>15663.779999999999</v>
      </c>
      <c r="BH35" s="145">
        <f t="shared" si="130"/>
        <v>15143.411999999998</v>
      </c>
      <c r="BI35" s="145">
        <f t="shared" ref="BI35:BO35" si="131">$C$35*12*BI38</f>
        <v>18880.919999999998</v>
      </c>
      <c r="BJ35" s="145">
        <f t="shared" si="131"/>
        <v>18856.307999999997</v>
      </c>
      <c r="BK35" s="145">
        <f t="shared" si="131"/>
        <v>16672.871999999999</v>
      </c>
      <c r="BL35" s="145">
        <f t="shared" si="131"/>
        <v>25884.791999999998</v>
      </c>
      <c r="BM35" s="145">
        <f t="shared" si="131"/>
        <v>25926.983999999997</v>
      </c>
      <c r="BN35" s="145">
        <f t="shared" ref="BN35" si="132">$C$35*12*BN38</f>
        <v>16279.079999999998</v>
      </c>
      <c r="BO35" s="145">
        <f t="shared" si="131"/>
        <v>19633.343999999997</v>
      </c>
      <c r="BP35" s="136">
        <f>2.78+0.15+1.12</f>
        <v>4.05</v>
      </c>
      <c r="BQ35" s="145">
        <f>BP35*12*BQ38</f>
        <v>23692.499999999996</v>
      </c>
      <c r="BR35" s="146" t="s">
        <v>112</v>
      </c>
      <c r="BS35" s="122" t="s">
        <v>117</v>
      </c>
      <c r="BT35" s="136">
        <f>2.52+0.15</f>
        <v>2.67</v>
      </c>
      <c r="BU35" s="145">
        <f t="shared" ref="BU35:BX35" si="133">$BT$35*12*BU38</f>
        <v>14607.035999999998</v>
      </c>
      <c r="BV35" s="145">
        <f t="shared" si="133"/>
        <v>14731.992</v>
      </c>
      <c r="BW35" s="145">
        <f t="shared" si="133"/>
        <v>16571.088</v>
      </c>
      <c r="BX35" s="145">
        <f t="shared" si="133"/>
        <v>16535.844000000001</v>
      </c>
      <c r="BY35" s="146" t="s">
        <v>112</v>
      </c>
      <c r="BZ35" s="122" t="s">
        <v>117</v>
      </c>
      <c r="CA35" s="136">
        <f>2.21+0.15</f>
        <v>2.36</v>
      </c>
      <c r="CB35" s="145">
        <f>$CA$35*12*CB38</f>
        <v>12868.608</v>
      </c>
      <c r="CC35" s="145">
        <f t="shared" ref="CC35:CF35" si="134">$CA$35*12*CC38</f>
        <v>13089.503999999999</v>
      </c>
      <c r="CD35" s="145">
        <f t="shared" si="134"/>
        <v>13392.528</v>
      </c>
      <c r="CE35" s="145">
        <f t="shared" si="134"/>
        <v>12959.232</v>
      </c>
      <c r="CF35" s="145">
        <f t="shared" si="134"/>
        <v>13106.496000000001</v>
      </c>
      <c r="CG35" s="146" t="s">
        <v>112</v>
      </c>
      <c r="CH35" s="122" t="s">
        <v>117</v>
      </c>
      <c r="CI35" s="136">
        <f>2.48+0.15</f>
        <v>2.63</v>
      </c>
      <c r="CJ35" s="145">
        <f t="shared" ref="CJ35:CS35" si="135">$CI$35*12*CJ38</f>
        <v>14138.88</v>
      </c>
      <c r="CK35" s="145">
        <f t="shared" si="135"/>
        <v>17831.399999999998</v>
      </c>
      <c r="CL35" s="145">
        <f t="shared" si="135"/>
        <v>17866.116000000002</v>
      </c>
      <c r="CM35" s="145">
        <f t="shared" si="135"/>
        <v>15145.643999999998</v>
      </c>
      <c r="CN35" s="145">
        <f t="shared" si="135"/>
        <v>17588.387999999999</v>
      </c>
      <c r="CO35" s="145">
        <f t="shared" si="135"/>
        <v>22704.263999999999</v>
      </c>
      <c r="CP35" s="145">
        <f t="shared" si="135"/>
        <v>15129.864</v>
      </c>
      <c r="CQ35" s="145">
        <f t="shared" si="135"/>
        <v>14593.343999999999</v>
      </c>
      <c r="CR35" s="145">
        <f t="shared" si="135"/>
        <v>13267.823999999999</v>
      </c>
      <c r="CS35" s="145">
        <f t="shared" si="135"/>
        <v>27965.315999999999</v>
      </c>
      <c r="CT35" s="145">
        <f t="shared" ref="CT35:DF35" si="136">$CI$35*12*CT38</f>
        <v>22833.66</v>
      </c>
      <c r="CU35" s="145">
        <f t="shared" si="136"/>
        <v>17768.28</v>
      </c>
      <c r="CV35" s="145">
        <f t="shared" si="136"/>
        <v>18175.403999999999</v>
      </c>
      <c r="CW35" s="145">
        <f t="shared" si="136"/>
        <v>10932.383999999998</v>
      </c>
      <c r="CX35" s="145">
        <f t="shared" si="136"/>
        <v>19229.507999999998</v>
      </c>
      <c r="CY35" s="145">
        <f t="shared" si="136"/>
        <v>17449.523999999998</v>
      </c>
      <c r="CZ35" s="145">
        <f t="shared" si="136"/>
        <v>15903.083999999999</v>
      </c>
      <c r="DA35" s="145">
        <f t="shared" si="136"/>
        <v>15985.14</v>
      </c>
      <c r="DB35" s="145">
        <f t="shared" si="136"/>
        <v>16619.495999999999</v>
      </c>
      <c r="DC35" s="145">
        <f t="shared" si="136"/>
        <v>14612.279999999999</v>
      </c>
      <c r="DD35" s="145">
        <f t="shared" si="136"/>
        <v>16360.703999999998</v>
      </c>
      <c r="DE35" s="145">
        <f t="shared" si="136"/>
        <v>16531.127999999997</v>
      </c>
      <c r="DF35" s="145">
        <f t="shared" si="136"/>
        <v>17790.371999999999</v>
      </c>
      <c r="DG35" s="145">
        <f>$CI$35*12*DG38</f>
        <v>19166.387999999999</v>
      </c>
      <c r="DH35" s="145">
        <f t="shared" ref="DH35:DJ35" si="137">$CI$35*12*DH38</f>
        <v>19690.284</v>
      </c>
      <c r="DI35" s="145">
        <f>$CI$35*12*DI38</f>
        <v>15934.643999999998</v>
      </c>
      <c r="DJ35" s="145">
        <f t="shared" si="137"/>
        <v>17323.284</v>
      </c>
      <c r="DK35" s="136">
        <f>2.48+0.15+0.63</f>
        <v>3.26</v>
      </c>
      <c r="DL35" s="145">
        <f>DK35*12*DL38</f>
        <v>19164.887999999999</v>
      </c>
      <c r="DM35" s="136">
        <f>2.48+0.15+0.67</f>
        <v>3.3</v>
      </c>
      <c r="DN35" s="145">
        <f>DM35*12*DN38</f>
        <v>21958.199999999997</v>
      </c>
      <c r="DO35" s="136">
        <f>2.48+0.15+0.96</f>
        <v>3.59</v>
      </c>
      <c r="DP35" s="145">
        <f>DO35*12*DP38</f>
        <v>21764.016</v>
      </c>
      <c r="DQ35" s="136">
        <f>2.48+0.15+1.07</f>
        <v>3.7</v>
      </c>
      <c r="DR35" s="145">
        <f>DQ35*12*DR38</f>
        <v>22608.480000000003</v>
      </c>
      <c r="DS35" s="136">
        <f>2.48+0.15+0.86</f>
        <v>3.4899999999999998</v>
      </c>
      <c r="DT35" s="145">
        <f>DS35*12*DT38</f>
        <v>41632.907999999996</v>
      </c>
      <c r="DU35" s="136">
        <f>2.48+0.15+0.8</f>
        <v>3.4299999999999997</v>
      </c>
      <c r="DV35" s="145">
        <f>DU35*12*DV38</f>
        <v>23415.923999999995</v>
      </c>
      <c r="DW35" s="136">
        <f>2.48+0.15+1.04</f>
        <v>3.67</v>
      </c>
      <c r="DX35" s="145">
        <f>DW35*12*DX38</f>
        <v>19870.847999999998</v>
      </c>
      <c r="DY35" s="136">
        <f>2.48+0.15+0.72</f>
        <v>3.3499999999999996</v>
      </c>
      <c r="DZ35" s="145">
        <f>DY35*12*DZ38</f>
        <v>18262.859999999997</v>
      </c>
      <c r="EA35" s="136">
        <f>2.48+0.15+0.61</f>
        <v>3.2399999999999998</v>
      </c>
      <c r="EB35" s="145">
        <f>EA35*12*EB38</f>
        <v>18145.295999999998</v>
      </c>
      <c r="EC35" s="136">
        <f>2.48+0.15+1.03</f>
        <v>3.66</v>
      </c>
      <c r="ED35" s="145">
        <f>EC35*12*ED38</f>
        <v>23444.495999999999</v>
      </c>
      <c r="EE35" s="136">
        <f>2.48+0.15+1.28</f>
        <v>3.91</v>
      </c>
      <c r="EF35" s="145">
        <f>EE35*12*EF38</f>
        <v>21996.096000000001</v>
      </c>
      <c r="EG35" s="136">
        <f>2.48+0.15+0.94</f>
        <v>3.57</v>
      </c>
      <c r="EH35" s="145">
        <f>EG35*12*EH38</f>
        <v>22105.439999999999</v>
      </c>
      <c r="EI35" s="136">
        <f>2.48+0.15+0.78</f>
        <v>3.41</v>
      </c>
      <c r="EJ35" s="145">
        <f>EI35*12*EJ38</f>
        <v>23123.892000000003</v>
      </c>
      <c r="EK35" s="146" t="s">
        <v>112</v>
      </c>
      <c r="EL35" s="122" t="s">
        <v>117</v>
      </c>
      <c r="EM35" s="136">
        <f>2.32+0.15</f>
        <v>2.4699999999999998</v>
      </c>
      <c r="EN35" s="145">
        <f>$EM$35*12*EN38</f>
        <v>14520.635999999999</v>
      </c>
      <c r="EO35" s="145">
        <f t="shared" ref="EO35" si="138">$EM$35*12*EO38</f>
        <v>13868.555999999999</v>
      </c>
      <c r="EP35" s="145">
        <f t="shared" ref="EP35" si="139">$EM$35*12*EP38</f>
        <v>14520.635999999999</v>
      </c>
      <c r="EQ35" s="136">
        <f>2.32+0.15+1.03</f>
        <v>3.5</v>
      </c>
      <c r="ER35" s="145">
        <f>EQ35*12*ER38</f>
        <v>19567.8</v>
      </c>
      <c r="ES35" s="146" t="s">
        <v>112</v>
      </c>
      <c r="ET35" s="122" t="s">
        <v>117</v>
      </c>
      <c r="EU35" s="136">
        <f>2.01+0.15</f>
        <v>2.1599999999999997</v>
      </c>
      <c r="EV35" s="145">
        <f>$EU$35*12*EV38</f>
        <v>11816.927999999996</v>
      </c>
      <c r="EW35" s="147">
        <f>$EU$35*12*EW38</f>
        <v>10777.535999999998</v>
      </c>
      <c r="EX35" s="147">
        <f>$EU$35*12*EX38</f>
        <v>12073.535999999998</v>
      </c>
      <c r="EY35" s="146" t="s">
        <v>129</v>
      </c>
      <c r="EZ35" s="122" t="s">
        <v>117</v>
      </c>
      <c r="FA35" s="144">
        <v>0.65</v>
      </c>
      <c r="FB35" s="65">
        <v>0</v>
      </c>
      <c r="FC35" s="65">
        <v>0</v>
      </c>
      <c r="FD35" s="65">
        <v>0</v>
      </c>
      <c r="FE35" s="91">
        <v>0.65</v>
      </c>
      <c r="FF35" s="86">
        <v>0</v>
      </c>
      <c r="FG35" s="91">
        <v>0.65</v>
      </c>
      <c r="FH35" s="120">
        <v>0</v>
      </c>
      <c r="FI35" s="160"/>
      <c r="FJ35" s="160"/>
      <c r="FK35" s="162"/>
      <c r="FL35" s="162"/>
      <c r="FM35" s="162"/>
      <c r="FN35" s="162"/>
      <c r="FO35" s="162"/>
    </row>
    <row r="36" spans="1:171" s="28" customFormat="1" x14ac:dyDescent="0.2">
      <c r="A36" s="42" t="s">
        <v>113</v>
      </c>
      <c r="B36" s="40" t="s">
        <v>117</v>
      </c>
      <c r="C36" s="136">
        <v>0.65</v>
      </c>
      <c r="D36" s="145">
        <f t="shared" ref="D36:S36" si="140">$C$36*12*D38</f>
        <v>3764.2800000000007</v>
      </c>
      <c r="E36" s="145">
        <f t="shared" si="140"/>
        <v>4610.5800000000008</v>
      </c>
      <c r="F36" s="145">
        <f t="shared" si="140"/>
        <v>3598.1400000000003</v>
      </c>
      <c r="G36" s="145">
        <f t="shared" si="140"/>
        <v>3330.6000000000004</v>
      </c>
      <c r="H36" s="145">
        <f t="shared" si="140"/>
        <v>10635.300000000001</v>
      </c>
      <c r="I36" s="145">
        <f t="shared" si="140"/>
        <v>4545.84</v>
      </c>
      <c r="J36" s="145">
        <f t="shared" si="140"/>
        <v>4527.9000000000005</v>
      </c>
      <c r="K36" s="145">
        <f t="shared" si="140"/>
        <v>4307.1600000000008</v>
      </c>
      <c r="L36" s="145">
        <f t="shared" si="140"/>
        <v>4402.3200000000006</v>
      </c>
      <c r="M36" s="145">
        <f t="shared" si="140"/>
        <v>4705.74</v>
      </c>
      <c r="N36" s="145">
        <f t="shared" si="140"/>
        <v>2698.8</v>
      </c>
      <c r="O36" s="145">
        <f t="shared" si="140"/>
        <v>6310.2000000000007</v>
      </c>
      <c r="P36" s="145">
        <f t="shared" si="140"/>
        <v>4523.22</v>
      </c>
      <c r="Q36" s="145">
        <f t="shared" si="140"/>
        <v>3626.2200000000003</v>
      </c>
      <c r="R36" s="145">
        <f t="shared" si="140"/>
        <v>4079.4000000000005</v>
      </c>
      <c r="S36" s="145">
        <f t="shared" si="140"/>
        <v>5680.74</v>
      </c>
      <c r="T36" s="145">
        <f t="shared" ref="T36" si="141">$C$36*12*T38</f>
        <v>4666.74</v>
      </c>
      <c r="U36" s="145">
        <f>$C$36*12*U38</f>
        <v>3567.7200000000003</v>
      </c>
      <c r="V36" s="145">
        <f>$C$36*12*V38</f>
        <v>3707.3400000000006</v>
      </c>
      <c r="W36" s="145">
        <f>$C$36*12*W38</f>
        <v>3591.9000000000005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5">
        <v>0</v>
      </c>
      <c r="AP36" s="145">
        <v>0</v>
      </c>
      <c r="AQ36" s="145">
        <v>0</v>
      </c>
      <c r="AR36" s="145">
        <v>0</v>
      </c>
      <c r="AS36" s="145">
        <v>0</v>
      </c>
      <c r="AT36" s="145">
        <v>0</v>
      </c>
      <c r="AU36" s="145">
        <v>0</v>
      </c>
      <c r="AV36" s="145">
        <v>0</v>
      </c>
      <c r="AW36" s="145">
        <v>0</v>
      </c>
      <c r="AX36" s="145">
        <f t="shared" ref="AX36:BF36" si="142">$C$36*12*AX38</f>
        <v>3692.52</v>
      </c>
      <c r="AY36" s="145">
        <f t="shared" si="142"/>
        <v>4240.8600000000006</v>
      </c>
      <c r="AZ36" s="145">
        <f t="shared" si="142"/>
        <v>4031.82</v>
      </c>
      <c r="BA36" s="145">
        <f t="shared" si="142"/>
        <v>4577.8200000000006</v>
      </c>
      <c r="BB36" s="145">
        <f t="shared" si="142"/>
        <v>3410.9400000000005</v>
      </c>
      <c r="BC36" s="145">
        <f t="shared" si="142"/>
        <v>3363.36</v>
      </c>
      <c r="BD36" s="145">
        <f t="shared" si="142"/>
        <v>4099.68</v>
      </c>
      <c r="BE36" s="145">
        <f t="shared" si="142"/>
        <v>3956.1600000000003</v>
      </c>
      <c r="BF36" s="145">
        <f t="shared" si="142"/>
        <v>3883.6200000000003</v>
      </c>
      <c r="BG36" s="145">
        <v>0</v>
      </c>
      <c r="BH36" s="145">
        <v>0</v>
      </c>
      <c r="BI36" s="145">
        <f t="shared" ref="BI36" si="143">$C$36*12*BI38</f>
        <v>4188.6000000000004</v>
      </c>
      <c r="BJ36" s="145">
        <v>0</v>
      </c>
      <c r="BK36" s="145">
        <v>0</v>
      </c>
      <c r="BL36" s="145">
        <f t="shared" ref="BL36" si="144">$C$36*12*BL38</f>
        <v>5742.3600000000006</v>
      </c>
      <c r="BM36" s="145">
        <v>0</v>
      </c>
      <c r="BN36" s="145">
        <v>0</v>
      </c>
      <c r="BO36" s="145">
        <v>0</v>
      </c>
      <c r="BP36" s="136">
        <v>0.65</v>
      </c>
      <c r="BQ36" s="145">
        <f>$C$36*12*BQ38</f>
        <v>3802.5000000000005</v>
      </c>
      <c r="BR36" s="146" t="s">
        <v>129</v>
      </c>
      <c r="BS36" s="41" t="s">
        <v>117</v>
      </c>
      <c r="BT36" s="136">
        <v>0.65</v>
      </c>
      <c r="BU36" s="148">
        <v>0</v>
      </c>
      <c r="BV36" s="148">
        <v>0</v>
      </c>
      <c r="BW36" s="148">
        <v>0</v>
      </c>
      <c r="BX36" s="148">
        <v>0</v>
      </c>
      <c r="BY36" s="146" t="s">
        <v>129</v>
      </c>
      <c r="BZ36" s="41" t="s">
        <v>117</v>
      </c>
      <c r="CA36" s="136">
        <v>0</v>
      </c>
      <c r="CB36" s="148">
        <f t="shared" ref="CB36:CF36" si="145">CA36*12*CB38</f>
        <v>0</v>
      </c>
      <c r="CC36" s="148">
        <f t="shared" si="145"/>
        <v>0</v>
      </c>
      <c r="CD36" s="148">
        <f>EX36*12*CD38</f>
        <v>0</v>
      </c>
      <c r="CE36" s="148">
        <f t="shared" si="145"/>
        <v>0</v>
      </c>
      <c r="CF36" s="148">
        <f t="shared" si="145"/>
        <v>0</v>
      </c>
      <c r="CG36" s="146" t="s">
        <v>113</v>
      </c>
      <c r="CH36" s="41" t="s">
        <v>117</v>
      </c>
      <c r="CI36" s="136">
        <v>0.65</v>
      </c>
      <c r="CJ36" s="148">
        <v>0</v>
      </c>
      <c r="CK36" s="148">
        <v>0</v>
      </c>
      <c r="CL36" s="148">
        <v>0</v>
      </c>
      <c r="CM36" s="149">
        <f>CI36*12*CM38</f>
        <v>3743.2200000000003</v>
      </c>
      <c r="CN36" s="149">
        <f>CI36*12*CN38</f>
        <v>4346.9399999999996</v>
      </c>
      <c r="CO36" s="148">
        <f>0</f>
        <v>0</v>
      </c>
      <c r="CP36" s="148">
        <v>0</v>
      </c>
      <c r="CQ36" s="148">
        <v>0</v>
      </c>
      <c r="CR36" s="149">
        <f>CI36*12*CR38</f>
        <v>3279.1200000000003</v>
      </c>
      <c r="CS36" s="149">
        <f>CI36*12*CS38</f>
        <v>6911.5800000000008</v>
      </c>
      <c r="CT36" s="150">
        <f>CT38*12*$CI$36</f>
        <v>5643.3</v>
      </c>
      <c r="CU36" s="150">
        <f>CU38*12*$CI$36</f>
        <v>4391.4000000000005</v>
      </c>
      <c r="CV36" s="150">
        <f>CV38*12*$CI$36</f>
        <v>4492.0199999999995</v>
      </c>
      <c r="CW36" s="150">
        <v>0</v>
      </c>
      <c r="CX36" s="150">
        <f>CX38*12*$CI$36</f>
        <v>4752.54</v>
      </c>
      <c r="CY36" s="150">
        <f>CY38*12*$CI$36</f>
        <v>4312.62</v>
      </c>
      <c r="CZ36" s="150">
        <v>0</v>
      </c>
      <c r="DA36" s="150">
        <f>DA38*12*$CI$36</f>
        <v>3950.7000000000003</v>
      </c>
      <c r="DB36" s="150">
        <f>DB38*12*$CI$36</f>
        <v>4107.4800000000005</v>
      </c>
      <c r="DC36" s="150">
        <f>DC38*12*$CI$36</f>
        <v>3611.4</v>
      </c>
      <c r="DD36" s="150">
        <f>DD38*12*$CI$36</f>
        <v>4043.5199999999995</v>
      </c>
      <c r="DE36" s="150">
        <v>0</v>
      </c>
      <c r="DF36" s="150">
        <f>DF38*12*$CI$36</f>
        <v>4396.8600000000006</v>
      </c>
      <c r="DG36" s="150">
        <v>0</v>
      </c>
      <c r="DH36" s="150">
        <f>DH38*12*$CI$36</f>
        <v>4866.42</v>
      </c>
      <c r="DI36" s="150">
        <f>DI38*12*$CI$36</f>
        <v>3938.22</v>
      </c>
      <c r="DJ36" s="150">
        <f>DJ38*12*$CI$36</f>
        <v>4281.42</v>
      </c>
      <c r="DK36" s="136">
        <v>0.65</v>
      </c>
      <c r="DL36" s="151">
        <v>0</v>
      </c>
      <c r="DM36" s="136">
        <v>0.65</v>
      </c>
      <c r="DN36" s="151">
        <v>0</v>
      </c>
      <c r="DO36" s="136">
        <v>0.65</v>
      </c>
      <c r="DP36" s="152">
        <f>CI36*12*DP38</f>
        <v>3940.5600000000004</v>
      </c>
      <c r="DQ36" s="136">
        <v>0.65</v>
      </c>
      <c r="DR36" s="152">
        <f>CI36*12*DR38</f>
        <v>3971.76</v>
      </c>
      <c r="DS36" s="136">
        <v>0.65</v>
      </c>
      <c r="DT36" s="151">
        <v>0</v>
      </c>
      <c r="DU36" s="136">
        <v>0.65</v>
      </c>
      <c r="DV36" s="152">
        <f>DV38*12*CI36</f>
        <v>4437.42</v>
      </c>
      <c r="DW36" s="136">
        <v>0.65</v>
      </c>
      <c r="DX36" s="151">
        <v>0</v>
      </c>
      <c r="DY36" s="136">
        <v>0.65</v>
      </c>
      <c r="DZ36" s="151">
        <v>0</v>
      </c>
      <c r="EA36" s="136">
        <v>0.65</v>
      </c>
      <c r="EB36" s="151">
        <v>0</v>
      </c>
      <c r="EC36" s="136">
        <v>0.65</v>
      </c>
      <c r="ED36" s="152">
        <f>ED38*12*CI36</f>
        <v>4163.6399999999994</v>
      </c>
      <c r="EE36" s="136">
        <v>0.65</v>
      </c>
      <c r="EF36" s="150">
        <f>EF38*12*$CI$36</f>
        <v>3656.6400000000003</v>
      </c>
      <c r="EG36" s="136">
        <v>0.65</v>
      </c>
      <c r="EH36" s="150">
        <f>EH38*12*$CI$36</f>
        <v>4024.8</v>
      </c>
      <c r="EI36" s="136">
        <v>0.65</v>
      </c>
      <c r="EJ36" s="150">
        <v>0</v>
      </c>
      <c r="EK36" s="146" t="s">
        <v>129</v>
      </c>
      <c r="EL36" s="41" t="s">
        <v>117</v>
      </c>
      <c r="EM36" s="136">
        <v>0.65</v>
      </c>
      <c r="EN36" s="148">
        <v>0</v>
      </c>
      <c r="EO36" s="148">
        <v>0</v>
      </c>
      <c r="EP36" s="148">
        <f>BT36*12*EP38</f>
        <v>3821.2200000000003</v>
      </c>
      <c r="EQ36" s="136">
        <v>0.65</v>
      </c>
      <c r="ER36" s="151">
        <v>0</v>
      </c>
      <c r="ES36" s="146" t="s">
        <v>129</v>
      </c>
      <c r="ET36" s="41" t="s">
        <v>117</v>
      </c>
      <c r="EU36" s="136">
        <v>0.65</v>
      </c>
      <c r="EV36" s="148">
        <v>0</v>
      </c>
      <c r="EW36" s="148">
        <v>0</v>
      </c>
      <c r="EX36" s="148">
        <v>0</v>
      </c>
      <c r="EY36" s="63" t="s">
        <v>171</v>
      </c>
      <c r="EZ36" s="143" t="s">
        <v>117</v>
      </c>
      <c r="FA36" s="144">
        <v>2.4500000000000002</v>
      </c>
      <c r="FB36" s="65">
        <f>2.45*12*FB38</f>
        <v>116021.22000000002</v>
      </c>
      <c r="FC36" s="65">
        <f>2.45*12*FC38</f>
        <v>67890.48</v>
      </c>
      <c r="FD36" s="65">
        <f>2.45*12*FD38</f>
        <v>64912.260000000009</v>
      </c>
      <c r="FE36" s="91">
        <f>2.32+0.15</f>
        <v>2.4699999999999998</v>
      </c>
      <c r="FF36" s="86">
        <f>(2.32+0.15)*12*FF38</f>
        <v>111606.45599999999</v>
      </c>
      <c r="FG36" s="91">
        <f>2.32+0.15+0.14</f>
        <v>2.61</v>
      </c>
      <c r="FH36" s="120">
        <f>(2.32+0.15+0.14)*12*FH38</f>
        <v>113137.236</v>
      </c>
      <c r="FI36" s="162"/>
      <c r="FJ36" s="162"/>
      <c r="FK36" s="162"/>
      <c r="FL36" s="183"/>
      <c r="FM36" s="162"/>
      <c r="FN36" s="162"/>
      <c r="FO36" s="162"/>
    </row>
    <row r="37" spans="1:171" s="155" customFormat="1" x14ac:dyDescent="0.2">
      <c r="A37" s="37" t="s">
        <v>2</v>
      </c>
      <c r="B37" s="43"/>
      <c r="C37" s="115"/>
      <c r="D37" s="11">
        <f>D35+D29+D25+D14+D9+D36</f>
        <v>128854.20000000001</v>
      </c>
      <c r="E37" s="11">
        <f t="shared" ref="E37:BO37" si="146">E35+E29+E25+E14+E9+E36</f>
        <v>157823.69999999998</v>
      </c>
      <c r="F37" s="11">
        <f t="shared" si="146"/>
        <v>123167.1</v>
      </c>
      <c r="G37" s="11">
        <f t="shared" si="146"/>
        <v>114008.99999999999</v>
      </c>
      <c r="H37" s="11">
        <f t="shared" si="146"/>
        <v>364054.49999999994</v>
      </c>
      <c r="I37" s="11">
        <f t="shared" si="146"/>
        <v>155607.59999999995</v>
      </c>
      <c r="J37" s="11">
        <f t="shared" si="146"/>
        <v>154993.49999999997</v>
      </c>
      <c r="K37" s="11">
        <f t="shared" si="146"/>
        <v>147437.40000000002</v>
      </c>
      <c r="L37" s="11">
        <f t="shared" si="146"/>
        <v>150694.79999999999</v>
      </c>
      <c r="M37" s="11">
        <f t="shared" si="146"/>
        <v>161081.09999999998</v>
      </c>
      <c r="N37" s="11">
        <f t="shared" si="146"/>
        <v>92382</v>
      </c>
      <c r="O37" s="11">
        <f t="shared" si="146"/>
        <v>216003</v>
      </c>
      <c r="P37" s="11">
        <f t="shared" si="146"/>
        <v>154833.29999999999</v>
      </c>
      <c r="Q37" s="11">
        <f t="shared" si="146"/>
        <v>124128.29999999999</v>
      </c>
      <c r="R37" s="11">
        <f t="shared" si="146"/>
        <v>139641</v>
      </c>
      <c r="S37" s="11">
        <f t="shared" si="146"/>
        <v>194456.09999999998</v>
      </c>
      <c r="T37" s="11">
        <f t="shared" si="146"/>
        <v>159746.09999999998</v>
      </c>
      <c r="U37" s="11">
        <f t="shared" si="146"/>
        <v>122125.79999999997</v>
      </c>
      <c r="V37" s="11">
        <f t="shared" si="146"/>
        <v>126905.09999999999</v>
      </c>
      <c r="W37" s="11">
        <f t="shared" si="146"/>
        <v>122953.49999999999</v>
      </c>
      <c r="X37" s="11">
        <f t="shared" si="146"/>
        <v>188930.87999999998</v>
      </c>
      <c r="Y37" s="11">
        <f t="shared" si="146"/>
        <v>119931.84</v>
      </c>
      <c r="Z37" s="11">
        <f t="shared" si="146"/>
        <v>118169.28</v>
      </c>
      <c r="AA37" s="11">
        <f t="shared" si="146"/>
        <v>133876.79999999999</v>
      </c>
      <c r="AB37" s="11">
        <f t="shared" si="146"/>
        <v>133980.47999999998</v>
      </c>
      <c r="AC37" s="11">
        <f t="shared" si="146"/>
        <v>133125.12</v>
      </c>
      <c r="AD37" s="11">
        <f t="shared" si="146"/>
        <v>122472</v>
      </c>
      <c r="AE37" s="11">
        <f t="shared" si="146"/>
        <v>123612.48</v>
      </c>
      <c r="AF37" s="11">
        <f t="shared" si="146"/>
        <v>125089.92000000001</v>
      </c>
      <c r="AG37" s="11">
        <f t="shared" si="146"/>
        <v>122808.95999999999</v>
      </c>
      <c r="AH37" s="11">
        <f t="shared" si="146"/>
        <v>134395.19999999998</v>
      </c>
      <c r="AI37" s="11">
        <f t="shared" si="146"/>
        <v>146111.03999999998</v>
      </c>
      <c r="AJ37" s="11">
        <f t="shared" si="146"/>
        <v>124856.63999999998</v>
      </c>
      <c r="AK37" s="11">
        <f t="shared" si="146"/>
        <v>227240.64</v>
      </c>
      <c r="AL37" s="11">
        <f t="shared" si="146"/>
        <v>123120</v>
      </c>
      <c r="AM37" s="11">
        <f t="shared" si="146"/>
        <v>118169.28</v>
      </c>
      <c r="AN37" s="11">
        <f t="shared" si="146"/>
        <v>111170.87999999998</v>
      </c>
      <c r="AO37" s="11">
        <f t="shared" si="146"/>
        <v>188619.84</v>
      </c>
      <c r="AP37" s="11">
        <f t="shared" si="146"/>
        <v>108734.39999999999</v>
      </c>
      <c r="AQ37" s="11">
        <f t="shared" si="146"/>
        <v>154327.67999999999</v>
      </c>
      <c r="AR37" s="11">
        <f t="shared" si="146"/>
        <v>191782.08</v>
      </c>
      <c r="AS37" s="11">
        <f t="shared" si="146"/>
        <v>252564.47999999998</v>
      </c>
      <c r="AT37" s="11">
        <f t="shared" si="146"/>
        <v>147303.35999999999</v>
      </c>
      <c r="AU37" s="11">
        <f t="shared" si="146"/>
        <v>172082.87999999998</v>
      </c>
      <c r="AV37" s="11">
        <f t="shared" si="146"/>
        <v>137738.87999999998</v>
      </c>
      <c r="AW37" s="11">
        <f t="shared" si="146"/>
        <v>109304.63999999998</v>
      </c>
      <c r="AX37" s="11">
        <f t="shared" si="146"/>
        <v>126397.79999999997</v>
      </c>
      <c r="AY37" s="11">
        <f t="shared" si="146"/>
        <v>145167.90000000002</v>
      </c>
      <c r="AZ37" s="11">
        <f t="shared" si="146"/>
        <v>138012.29999999999</v>
      </c>
      <c r="BA37" s="11">
        <f t="shared" si="146"/>
        <v>156702.29999999999</v>
      </c>
      <c r="BB37" s="11">
        <f t="shared" si="146"/>
        <v>116759.09999999999</v>
      </c>
      <c r="BC37" s="11">
        <f t="shared" si="146"/>
        <v>115130.40000000001</v>
      </c>
      <c r="BD37" s="11">
        <f t="shared" si="146"/>
        <v>140335.19999999998</v>
      </c>
      <c r="BE37" s="11">
        <f t="shared" si="146"/>
        <v>135422.39999999999</v>
      </c>
      <c r="BF37" s="11">
        <f t="shared" si="146"/>
        <v>132939.30000000002</v>
      </c>
      <c r="BG37" s="11">
        <f t="shared" si="146"/>
        <v>115473.60000000001</v>
      </c>
      <c r="BH37" s="11">
        <f t="shared" si="146"/>
        <v>111637.44</v>
      </c>
      <c r="BI37" s="11">
        <f t="shared" si="146"/>
        <v>143379</v>
      </c>
      <c r="BJ37" s="11">
        <f t="shared" si="146"/>
        <v>139008.95999999996</v>
      </c>
      <c r="BK37" s="11">
        <f t="shared" si="146"/>
        <v>122912.64</v>
      </c>
      <c r="BL37" s="11">
        <f t="shared" si="146"/>
        <v>196565.40000000002</v>
      </c>
      <c r="BM37" s="11">
        <f t="shared" si="146"/>
        <v>191134.07999999999</v>
      </c>
      <c r="BN37" s="11">
        <f t="shared" si="146"/>
        <v>120009.59999999999</v>
      </c>
      <c r="BO37" s="11">
        <f t="shared" si="146"/>
        <v>144737.27999999997</v>
      </c>
      <c r="BP37" s="115"/>
      <c r="BQ37" s="11">
        <f>BQ35+BQ29+BQ25+BQ14+BQ9+BQ36</f>
        <v>171288</v>
      </c>
      <c r="BR37" s="153" t="s">
        <v>2</v>
      </c>
      <c r="BS37" s="115"/>
      <c r="BT37" s="115"/>
      <c r="BU37" s="11">
        <f>BU35+BU29+BU25+BU14+BU9+BU36</f>
        <v>108595.37999999999</v>
      </c>
      <c r="BV37" s="11">
        <f t="shared" ref="BV37:BX37" si="147">BV35+BV29+BV25+BV14+BV9+BV36</f>
        <v>109524.36000000002</v>
      </c>
      <c r="BW37" s="11">
        <f t="shared" si="147"/>
        <v>123197.04000000002</v>
      </c>
      <c r="BX37" s="11">
        <f t="shared" si="147"/>
        <v>122935.01999999999</v>
      </c>
      <c r="BY37" s="153" t="s">
        <v>2</v>
      </c>
      <c r="BZ37" s="115"/>
      <c r="CA37" s="115"/>
      <c r="CB37" s="11">
        <f>CB35+CB29+CB25+CB14+CB9+CB36</f>
        <v>124323.83999999998</v>
      </c>
      <c r="CC37" s="11">
        <f t="shared" ref="CC37:CF37" si="148">CC35+CC29+CC25+CC14+CC9+CC36</f>
        <v>126457.92</v>
      </c>
      <c r="CD37" s="11">
        <f t="shared" si="148"/>
        <v>129385.44</v>
      </c>
      <c r="CE37" s="11">
        <f t="shared" si="148"/>
        <v>125199.36000000002</v>
      </c>
      <c r="CF37" s="11">
        <f t="shared" si="148"/>
        <v>126622.08</v>
      </c>
      <c r="CG37" s="153" t="s">
        <v>2</v>
      </c>
      <c r="CH37" s="115"/>
      <c r="CI37" s="115"/>
      <c r="CJ37" s="11">
        <f t="shared" ref="CJ37:DJ37" si="149">CJ35+CJ29+CJ25+CJ14+CJ9+CJ36</f>
        <v>94671.360000000001</v>
      </c>
      <c r="CK37" s="11">
        <f t="shared" si="149"/>
        <v>119395.79999999999</v>
      </c>
      <c r="CL37" s="11">
        <f t="shared" si="149"/>
        <v>119628.25199999999</v>
      </c>
      <c r="CM37" s="11">
        <f t="shared" si="149"/>
        <v>105155.68799999999</v>
      </c>
      <c r="CN37" s="11">
        <f t="shared" si="149"/>
        <v>122115.57599999999</v>
      </c>
      <c r="CO37" s="11">
        <f t="shared" si="149"/>
        <v>152023.60800000001</v>
      </c>
      <c r="CP37" s="11">
        <f t="shared" si="149"/>
        <v>101306.80799999999</v>
      </c>
      <c r="CQ37" s="11">
        <f t="shared" si="149"/>
        <v>97714.368000000002</v>
      </c>
      <c r="CR37" s="11">
        <f t="shared" si="149"/>
        <v>92118.047999999981</v>
      </c>
      <c r="CS37" s="11">
        <f t="shared" si="149"/>
        <v>194162.23200000002</v>
      </c>
      <c r="CT37" s="11">
        <f t="shared" si="149"/>
        <v>158533.31999999998</v>
      </c>
      <c r="CU37" s="11">
        <f t="shared" si="149"/>
        <v>123364.56</v>
      </c>
      <c r="CV37" s="11">
        <f t="shared" si="149"/>
        <v>126191.20799999998</v>
      </c>
      <c r="CW37" s="11">
        <f t="shared" si="149"/>
        <v>73201.247999999992</v>
      </c>
      <c r="CX37" s="11">
        <f t="shared" si="149"/>
        <v>133509.81599999999</v>
      </c>
      <c r="CY37" s="11">
        <f t="shared" si="149"/>
        <v>121151.44799999999</v>
      </c>
      <c r="CZ37" s="11">
        <f t="shared" si="149"/>
        <v>106484.14799999999</v>
      </c>
      <c r="DA37" s="11">
        <f t="shared" si="149"/>
        <v>110984.28</v>
      </c>
      <c r="DB37" s="11">
        <f t="shared" si="149"/>
        <v>115388.59200000002</v>
      </c>
      <c r="DC37" s="11">
        <f t="shared" si="149"/>
        <v>101452.56</v>
      </c>
      <c r="DD37" s="11">
        <f t="shared" si="149"/>
        <v>113591.808</v>
      </c>
      <c r="DE37" s="11">
        <f t="shared" si="149"/>
        <v>110689.41599999998</v>
      </c>
      <c r="DF37" s="11">
        <f t="shared" si="149"/>
        <v>123517.944</v>
      </c>
      <c r="DG37" s="11">
        <f t="shared" si="149"/>
        <v>128334.63599999998</v>
      </c>
      <c r="DH37" s="11">
        <f t="shared" si="149"/>
        <v>136708.96799999999</v>
      </c>
      <c r="DI37" s="11">
        <f>DI35+DI29+DI25+DI14+DI9+DI36</f>
        <v>110633.68799999999</v>
      </c>
      <c r="DJ37" s="11">
        <f t="shared" si="149"/>
        <v>120274.96799999999</v>
      </c>
      <c r="DK37" s="115"/>
      <c r="DL37" s="11">
        <f>DL35+DL29+DL25+DL14+DL9+DL36</f>
        <v>125394.80399999999</v>
      </c>
      <c r="DM37" s="115"/>
      <c r="DN37" s="11">
        <f>DN35+DN29+DN25+DN14+DN9+DN36</f>
        <v>143127.54</v>
      </c>
      <c r="DO37" s="115"/>
      <c r="DP37" s="11">
        <f>DP35+DP29+DP25+DP14+DP9+DP36</f>
        <v>147558.81600000002</v>
      </c>
      <c r="DQ37" s="115"/>
      <c r="DR37" s="11">
        <f>DR35+DR29+DR25+DR14+DR9+DR36</f>
        <v>154776.43200000003</v>
      </c>
      <c r="DS37" s="115"/>
      <c r="DT37" s="11">
        <f>DT35+DT29+DT25+DT14+DT9+DT36</f>
        <v>277473.19199999998</v>
      </c>
      <c r="DU37" s="115"/>
      <c r="DV37" s="11">
        <f>DV35+DV29+DV25+DV14+DV9+DV36</f>
        <v>157767.348</v>
      </c>
      <c r="DW37" s="115"/>
      <c r="DX37" s="11">
        <f>DX35+DX29+DX25+DX14+DX9+DX36</f>
        <v>134114.68799999999</v>
      </c>
      <c r="DY37" s="115"/>
      <c r="DZ37" s="11">
        <f>DZ35+DZ29+DZ25+DZ14+DZ9+DZ36</f>
        <v>118190.68799999999</v>
      </c>
      <c r="EA37" s="115"/>
      <c r="EB37" s="11">
        <f>EB35+EB29+EB25+EB14+EB9+EB36</f>
        <v>117328.38</v>
      </c>
      <c r="EC37" s="115"/>
      <c r="ED37" s="11">
        <f>ED35+ED29+ED25+ED14+ED9+ED36</f>
        <v>161421.11999999994</v>
      </c>
      <c r="EE37" s="115"/>
      <c r="EF37" s="11">
        <f>EF35+EF29+EF25+EF14+EF9+EF36</f>
        <v>143959.10399999999</v>
      </c>
      <c r="EG37" s="115"/>
      <c r="EH37" s="11">
        <f>EH35+EH29+EH25+EH14+EH9+EH36</f>
        <v>149474.88</v>
      </c>
      <c r="EI37" s="115"/>
      <c r="EJ37" s="11">
        <f>EJ35+EJ29+EJ25+EJ14+EJ9+EJ36</f>
        <v>151424.196</v>
      </c>
      <c r="EK37" s="153" t="s">
        <v>2</v>
      </c>
      <c r="EL37" s="115"/>
      <c r="EM37" s="115"/>
      <c r="EN37" s="11">
        <f t="shared" ref="EN37" si="150">EN35+EN29+EN25+EN14+EN9+EN36</f>
        <v>96000.804000000004</v>
      </c>
      <c r="EO37" s="11">
        <f t="shared" ref="EO37" si="151">EO35+EO29+EO25+EO14+EO9+EO36</f>
        <v>91689.684000000008</v>
      </c>
      <c r="EP37" s="11">
        <f t="shared" ref="EP37" si="152">EP35+EP29+EP25+EP14+EP9+EP36</f>
        <v>99822.024000000005</v>
      </c>
      <c r="EQ37" s="115"/>
      <c r="ER37" s="11">
        <f t="shared" ref="ER37" si="153">ER35+ER29+ER25+ER14+ER9+ER36</f>
        <v>124283.484</v>
      </c>
      <c r="ES37" s="153" t="s">
        <v>2</v>
      </c>
      <c r="ET37" s="115"/>
      <c r="EU37" s="115"/>
      <c r="EV37" s="11">
        <f t="shared" ref="EV37:EX37" si="154">EV35+EV29+EV25+EV14+EV9+EV36</f>
        <v>106352.35199999998</v>
      </c>
      <c r="EW37" s="11">
        <f t="shared" si="154"/>
        <v>96997.823999999993</v>
      </c>
      <c r="EX37" s="11">
        <f t="shared" si="154"/>
        <v>108661.82399999999</v>
      </c>
      <c r="EY37" s="154" t="s">
        <v>2</v>
      </c>
      <c r="EZ37" s="143"/>
      <c r="FA37" s="92"/>
      <c r="FB37" s="82">
        <f>FB36++FB14+FB9+FB24+FB29+FB34+FB33+FB32</f>
        <v>945691.33200000005</v>
      </c>
      <c r="FC37" s="82">
        <f t="shared" ref="FC37:FD37" si="155">FC36++FC14+FC9+FC24+FC29+FC34+FC33+FC32</f>
        <v>553376.68799999997</v>
      </c>
      <c r="FD37" s="82">
        <f t="shared" si="155"/>
        <v>529101.15599999996</v>
      </c>
      <c r="FE37" s="92"/>
      <c r="FF37" s="82">
        <f>FF36+FF14+FF9+FF24+FF29+FF34+FF33+FF32</f>
        <v>891947.95200000005</v>
      </c>
      <c r="FG37" s="92"/>
      <c r="FH37" s="119">
        <f>FH36+FH14+FH9+FH24+FH29+FH34+FH33+FH32</f>
        <v>970986.24</v>
      </c>
      <c r="FI37" s="163">
        <f>FH37+FF37+FD37+FC37+FB37+EX37+EW37+EV37+ER37+EP37+EO37+EN37+EJ37+EH37+EF37+ED37+EB37+DZ37+DX37+DV37+DT37+DR37+DP37+DN37+DL37+DJ37+DI37+DH37+DG37+DF37+DE37+DD37+DC37+DB37+DA37+CZ37+CY37+CX37+CW37+CV37+CU37+CT37+CS37+CR37+CQ37+CP37+CO37+CN37+CM37+CL37+CK37+CJ37+CF37+CE37+CD37+CC37+CB37+BX37+BW37+BV37+BU37+BQ37+BO37+BN37+BM37+BL37+BK37+BJ37+BI37+BH37+BG37+BF37+BE37+BD37+BC37+BB37+BA37+AZ37+AY37+AX37+AW37+AV37+AU37+AT37+AS37+AR37+AQ37++AP37+AO37+AN37+AM37+AL37+AK37+AJ37+AI37+AH37+AG37+AF37+AE37+AD37+AC37+AB37+AA37+Z37+Y37+X37+W37+V37+U37+T37+S37+R37+Q37+P37+O37+N37+M37+L37+K37+J37+I37+H37+G37+F37+E37+D37</f>
        <v>20448896.820000015</v>
      </c>
      <c r="FJ37" s="164">
        <f>FI37/12</f>
        <v>1704074.7350000013</v>
      </c>
      <c r="FK37" s="163">
        <f>FJ37*5/100</f>
        <v>85203.736750000069</v>
      </c>
      <c r="FL37" s="184"/>
      <c r="FM37" s="185"/>
      <c r="FN37" s="185"/>
      <c r="FO37" s="185"/>
    </row>
    <row r="38" spans="1:171" s="2" customFormat="1" ht="15.75" customHeight="1" x14ac:dyDescent="0.2">
      <c r="A38" s="37" t="s">
        <v>1</v>
      </c>
      <c r="B38" s="43"/>
      <c r="C38" s="36"/>
      <c r="D38" s="73">
        <v>482.6</v>
      </c>
      <c r="E38" s="73">
        <v>591.1</v>
      </c>
      <c r="F38" s="73">
        <v>461.3</v>
      </c>
      <c r="G38" s="73">
        <v>427</v>
      </c>
      <c r="H38" s="73">
        <v>1363.5</v>
      </c>
      <c r="I38" s="73">
        <v>582.79999999999995</v>
      </c>
      <c r="J38" s="73">
        <v>580.5</v>
      </c>
      <c r="K38" s="73">
        <v>552.20000000000005</v>
      </c>
      <c r="L38" s="73">
        <v>564.4</v>
      </c>
      <c r="M38" s="73">
        <v>603.29999999999995</v>
      </c>
      <c r="N38" s="73">
        <v>346</v>
      </c>
      <c r="O38" s="73">
        <v>809</v>
      </c>
      <c r="P38" s="73">
        <v>579.9</v>
      </c>
      <c r="Q38" s="73">
        <v>464.9</v>
      </c>
      <c r="R38" s="73">
        <v>523</v>
      </c>
      <c r="S38" s="73">
        <v>728.3</v>
      </c>
      <c r="T38" s="73">
        <v>598.29999999999995</v>
      </c>
      <c r="U38" s="73">
        <v>457.4</v>
      </c>
      <c r="V38" s="73">
        <v>475.3</v>
      </c>
      <c r="W38" s="73">
        <v>460.5</v>
      </c>
      <c r="X38" s="73">
        <v>728.9</v>
      </c>
      <c r="Y38" s="73">
        <v>462.7</v>
      </c>
      <c r="Z38" s="73">
        <v>455.9</v>
      </c>
      <c r="AA38" s="73">
        <v>516.5</v>
      </c>
      <c r="AB38" s="73">
        <v>516.9</v>
      </c>
      <c r="AC38" s="73">
        <v>513.6</v>
      </c>
      <c r="AD38" s="73">
        <v>472.5</v>
      </c>
      <c r="AE38" s="73">
        <v>476.9</v>
      </c>
      <c r="AF38" s="73">
        <v>482.6</v>
      </c>
      <c r="AG38" s="73">
        <v>473.8</v>
      </c>
      <c r="AH38" s="73">
        <v>518.5</v>
      </c>
      <c r="AI38" s="73">
        <v>563.70000000000005</v>
      </c>
      <c r="AJ38" s="73">
        <v>481.7</v>
      </c>
      <c r="AK38" s="73">
        <v>876.7</v>
      </c>
      <c r="AL38" s="73">
        <v>475</v>
      </c>
      <c r="AM38" s="73">
        <v>455.9</v>
      </c>
      <c r="AN38" s="73">
        <v>428.9</v>
      </c>
      <c r="AO38" s="73">
        <v>727.7</v>
      </c>
      <c r="AP38" s="73">
        <v>419.5</v>
      </c>
      <c r="AQ38" s="73">
        <v>595.4</v>
      </c>
      <c r="AR38" s="73">
        <v>739.9</v>
      </c>
      <c r="AS38" s="73">
        <v>974.4</v>
      </c>
      <c r="AT38" s="73">
        <v>568.29999999999995</v>
      </c>
      <c r="AU38" s="73">
        <v>663.9</v>
      </c>
      <c r="AV38" s="73">
        <v>531.4</v>
      </c>
      <c r="AW38" s="73">
        <v>421.7</v>
      </c>
      <c r="AX38" s="73">
        <v>473.4</v>
      </c>
      <c r="AY38" s="73">
        <v>543.70000000000005</v>
      </c>
      <c r="AZ38" s="73">
        <v>516.9</v>
      </c>
      <c r="BA38" s="73">
        <v>586.9</v>
      </c>
      <c r="BB38" s="73">
        <v>437.3</v>
      </c>
      <c r="BC38" s="73">
        <v>431.2</v>
      </c>
      <c r="BD38" s="73">
        <v>525.6</v>
      </c>
      <c r="BE38" s="73">
        <v>507.2</v>
      </c>
      <c r="BF38" s="73">
        <v>497.9</v>
      </c>
      <c r="BG38" s="73">
        <v>445.5</v>
      </c>
      <c r="BH38" s="73">
        <v>430.7</v>
      </c>
      <c r="BI38" s="73">
        <v>537</v>
      </c>
      <c r="BJ38" s="73">
        <v>536.29999999999995</v>
      </c>
      <c r="BK38" s="73">
        <v>474.2</v>
      </c>
      <c r="BL38" s="73">
        <v>736.2</v>
      </c>
      <c r="BM38" s="73">
        <v>737.4</v>
      </c>
      <c r="BN38" s="73">
        <v>463</v>
      </c>
      <c r="BO38" s="73">
        <v>558.4</v>
      </c>
      <c r="BP38" s="36"/>
      <c r="BQ38" s="73">
        <v>487.5</v>
      </c>
      <c r="BR38" s="153" t="s">
        <v>1</v>
      </c>
      <c r="BS38" s="115"/>
      <c r="BT38" s="36"/>
      <c r="BU38" s="24">
        <v>455.9</v>
      </c>
      <c r="BV38" s="24">
        <v>459.8</v>
      </c>
      <c r="BW38" s="24">
        <v>517.20000000000005</v>
      </c>
      <c r="BX38" s="24">
        <v>516.1</v>
      </c>
      <c r="BY38" s="153" t="s">
        <v>1</v>
      </c>
      <c r="BZ38" s="115"/>
      <c r="CA38" s="36"/>
      <c r="CB38" s="74">
        <v>454.4</v>
      </c>
      <c r="CC38" s="74">
        <v>462.2</v>
      </c>
      <c r="CD38" s="74">
        <v>472.9</v>
      </c>
      <c r="CE38" s="74">
        <v>457.6</v>
      </c>
      <c r="CF38" s="74">
        <v>462.8</v>
      </c>
      <c r="CG38" s="153" t="s">
        <v>1</v>
      </c>
      <c r="CH38" s="115"/>
      <c r="CI38" s="36"/>
      <c r="CJ38" s="69">
        <v>448</v>
      </c>
      <c r="CK38" s="69">
        <v>565</v>
      </c>
      <c r="CL38" s="69">
        <v>566.1</v>
      </c>
      <c r="CM38" s="69">
        <v>479.9</v>
      </c>
      <c r="CN38" s="69">
        <v>557.29999999999995</v>
      </c>
      <c r="CO38" s="69">
        <v>719.4</v>
      </c>
      <c r="CP38" s="69">
        <v>479.4</v>
      </c>
      <c r="CQ38" s="69">
        <v>462.4</v>
      </c>
      <c r="CR38" s="69">
        <v>420.4</v>
      </c>
      <c r="CS38" s="69">
        <v>886.1</v>
      </c>
      <c r="CT38" s="95">
        <v>723.5</v>
      </c>
      <c r="CU38" s="73">
        <v>563</v>
      </c>
      <c r="CV38" s="73">
        <v>575.9</v>
      </c>
      <c r="CW38" s="73">
        <v>346.4</v>
      </c>
      <c r="CX38" s="73">
        <v>609.29999999999995</v>
      </c>
      <c r="CY38" s="73">
        <v>552.9</v>
      </c>
      <c r="CZ38" s="73">
        <v>503.9</v>
      </c>
      <c r="DA38" s="73">
        <v>506.5</v>
      </c>
      <c r="DB38" s="73">
        <v>526.6</v>
      </c>
      <c r="DC38" s="73">
        <v>463</v>
      </c>
      <c r="DD38" s="73">
        <v>518.4</v>
      </c>
      <c r="DE38" s="73">
        <v>523.79999999999995</v>
      </c>
      <c r="DF38" s="73">
        <v>563.70000000000005</v>
      </c>
      <c r="DG38" s="73">
        <v>607.29999999999995</v>
      </c>
      <c r="DH38" s="73">
        <v>623.9</v>
      </c>
      <c r="DI38" s="73">
        <v>504.9</v>
      </c>
      <c r="DJ38" s="73">
        <v>548.9</v>
      </c>
      <c r="DK38" s="36"/>
      <c r="DL38" s="69">
        <v>489.9</v>
      </c>
      <c r="DM38" s="36"/>
      <c r="DN38" s="69">
        <v>554.5</v>
      </c>
      <c r="DO38" s="36"/>
      <c r="DP38" s="69">
        <v>505.2</v>
      </c>
      <c r="DQ38" s="36"/>
      <c r="DR38" s="69">
        <v>509.2</v>
      </c>
      <c r="DS38" s="36"/>
      <c r="DT38" s="69">
        <v>994.1</v>
      </c>
      <c r="DU38" s="36"/>
      <c r="DV38" s="69">
        <v>568.9</v>
      </c>
      <c r="DW38" s="36"/>
      <c r="DX38" s="69">
        <v>451.2</v>
      </c>
      <c r="DY38" s="36"/>
      <c r="DZ38" s="69">
        <v>454.3</v>
      </c>
      <c r="EA38" s="36"/>
      <c r="EB38" s="69">
        <v>466.7</v>
      </c>
      <c r="EC38" s="36"/>
      <c r="ED38" s="69">
        <v>533.79999999999995</v>
      </c>
      <c r="EE38" s="36"/>
      <c r="EF38" s="73">
        <v>468.8</v>
      </c>
      <c r="EG38" s="36"/>
      <c r="EH38" s="73">
        <v>516</v>
      </c>
      <c r="EI38" s="36"/>
      <c r="EJ38" s="73">
        <v>565.1</v>
      </c>
      <c r="EK38" s="153" t="s">
        <v>1</v>
      </c>
      <c r="EL38" s="115"/>
      <c r="EM38" s="36"/>
      <c r="EN38" s="68">
        <v>489.9</v>
      </c>
      <c r="EO38" s="68">
        <v>467.9</v>
      </c>
      <c r="EP38" s="24">
        <v>489.9</v>
      </c>
      <c r="EQ38" s="36"/>
      <c r="ER38" s="68">
        <v>465.9</v>
      </c>
      <c r="ES38" s="153" t="s">
        <v>1</v>
      </c>
      <c r="ET38" s="115"/>
      <c r="EU38" s="36"/>
      <c r="EV38" s="66">
        <v>455.9</v>
      </c>
      <c r="EW38" s="67">
        <v>415.8</v>
      </c>
      <c r="EX38" s="74">
        <v>465.8</v>
      </c>
      <c r="EY38" s="154" t="s">
        <v>1</v>
      </c>
      <c r="EZ38" s="64"/>
      <c r="FA38" s="79"/>
      <c r="FB38" s="78">
        <v>3946.3</v>
      </c>
      <c r="FC38" s="78">
        <v>2309.1999999999998</v>
      </c>
      <c r="FD38" s="78">
        <v>2207.9</v>
      </c>
      <c r="FE38" s="79"/>
      <c r="FF38" s="78">
        <v>3765.4</v>
      </c>
      <c r="FG38" s="79"/>
      <c r="FH38" s="113">
        <v>3612.3</v>
      </c>
      <c r="FI38" s="163">
        <f>FH38+FF38+FD38+FC38+FB38+EX38+EW38+EV38+ER38+EP38+EO38+EN38+EJ38+EH38+EF38+ED38+EB38+DZ38+DX38+DV38+DT38+DR38+DP38+DN38+DL38+DJ38+DI38+DH38+DG38+DF38+DE38+DD38+DC38+DB38+DA38+CZ38+CY38+CX38+CW38+CV38+CU38+CT38+CS38+CR38+CQ38+CP38+CO38+CN38+CM38+CL38+CK38+CJ38+CF38+CE38+CD38+CC38+CB38+BX38+BW38+BV38+BU38+BQ38+BO38+BN38+BM38+BL38+BK38+BJ38+BI38+BH38+BG38+BF38+BE38+BD38+BC38+BB38+BA38+AZ38+AY38+AX38+AW38+AV38+AU38+AT38+AS38+AR38+AQ38++AP38+AO38+AN38+AM38+AL38+AK38+AJ38+AI38+AH38+AG38+AF38+AE38+AD38+AC38+AB38+AA38+Z38+Y38+X38+W38+V38+U38+T38+S38+R38+Q38+P38+O38+N38+M38+L38+K38+J38+I38+H38+G38+F38+E38+D38</f>
        <v>81395.200000000012</v>
      </c>
      <c r="FJ38" s="164"/>
      <c r="FK38" s="165">
        <f>FI38*80*70/100</f>
        <v>4558131.2000000002</v>
      </c>
      <c r="FL38" s="163"/>
      <c r="FM38" s="161"/>
      <c r="FN38" s="161"/>
      <c r="FO38" s="161"/>
    </row>
    <row r="39" spans="1:171" s="2" customFormat="1" ht="25.5" customHeight="1" x14ac:dyDescent="0.2">
      <c r="A39" s="37" t="s">
        <v>118</v>
      </c>
      <c r="B39" s="44"/>
      <c r="C39" s="36"/>
      <c r="D39" s="12">
        <f>D37 /12/D38</f>
        <v>22.25</v>
      </c>
      <c r="E39" s="12">
        <f t="shared" ref="E39:AB39" si="156">E37 /12/E38</f>
        <v>22.249999999999996</v>
      </c>
      <c r="F39" s="12">
        <f t="shared" si="156"/>
        <v>22.250000000000004</v>
      </c>
      <c r="G39" s="12">
        <f t="shared" si="156"/>
        <v>22.249999999999996</v>
      </c>
      <c r="H39" s="12">
        <f t="shared" si="156"/>
        <v>22.249999999999996</v>
      </c>
      <c r="I39" s="12">
        <f t="shared" si="156"/>
        <v>22.249999999999993</v>
      </c>
      <c r="J39" s="12">
        <f t="shared" si="156"/>
        <v>22.249999999999996</v>
      </c>
      <c r="K39" s="12">
        <f t="shared" si="156"/>
        <v>22.250000000000004</v>
      </c>
      <c r="L39" s="12">
        <f t="shared" si="156"/>
        <v>22.25</v>
      </c>
      <c r="M39" s="12">
        <f t="shared" si="156"/>
        <v>22.249999999999996</v>
      </c>
      <c r="N39" s="12">
        <f t="shared" si="156"/>
        <v>22.25</v>
      </c>
      <c r="O39" s="12">
        <f t="shared" si="156"/>
        <v>22.25</v>
      </c>
      <c r="P39" s="12">
        <f t="shared" si="156"/>
        <v>22.25</v>
      </c>
      <c r="Q39" s="12">
        <f t="shared" si="156"/>
        <v>22.25</v>
      </c>
      <c r="R39" s="12">
        <f t="shared" si="156"/>
        <v>22.25</v>
      </c>
      <c r="S39" s="12">
        <f t="shared" si="156"/>
        <v>22.249999999999996</v>
      </c>
      <c r="T39" s="12">
        <f t="shared" ref="T39" si="157">T37 /12/T38</f>
        <v>22.249999999999996</v>
      </c>
      <c r="U39" s="12">
        <f t="shared" si="156"/>
        <v>22.249999999999996</v>
      </c>
      <c r="V39" s="12">
        <f t="shared" si="156"/>
        <v>22.249999999999996</v>
      </c>
      <c r="W39" s="12">
        <f t="shared" si="156"/>
        <v>22.249999999999996</v>
      </c>
      <c r="X39" s="12">
        <f t="shared" si="156"/>
        <v>21.599999999999998</v>
      </c>
      <c r="Y39" s="12">
        <f t="shared" si="156"/>
        <v>21.6</v>
      </c>
      <c r="Z39" s="12">
        <f t="shared" ref="Z39" si="158">Z37 /12/Z38</f>
        <v>21.6</v>
      </c>
      <c r="AA39" s="12">
        <f t="shared" si="156"/>
        <v>21.599999999999998</v>
      </c>
      <c r="AB39" s="12">
        <f t="shared" si="156"/>
        <v>21.599999999999998</v>
      </c>
      <c r="AC39" s="12">
        <f t="shared" ref="AC39:BC39" si="159">AC37 /12/AC38</f>
        <v>21.599999999999998</v>
      </c>
      <c r="AD39" s="12">
        <f t="shared" si="159"/>
        <v>21.6</v>
      </c>
      <c r="AE39" s="12">
        <f t="shared" si="159"/>
        <v>21.599999999999998</v>
      </c>
      <c r="AF39" s="12">
        <f t="shared" si="159"/>
        <v>21.6</v>
      </c>
      <c r="AG39" s="12">
        <f t="shared" si="159"/>
        <v>21.599999999999998</v>
      </c>
      <c r="AH39" s="12">
        <f t="shared" si="159"/>
        <v>21.599999999999998</v>
      </c>
      <c r="AI39" s="12">
        <f t="shared" si="159"/>
        <v>21.599999999999994</v>
      </c>
      <c r="AJ39" s="12">
        <f t="shared" si="159"/>
        <v>21.599999999999998</v>
      </c>
      <c r="AK39" s="12">
        <f t="shared" si="159"/>
        <v>21.6</v>
      </c>
      <c r="AL39" s="12">
        <f t="shared" si="159"/>
        <v>21.6</v>
      </c>
      <c r="AM39" s="12">
        <f t="shared" si="159"/>
        <v>21.6</v>
      </c>
      <c r="AN39" s="12">
        <f t="shared" si="159"/>
        <v>21.599999999999998</v>
      </c>
      <c r="AO39" s="12">
        <f t="shared" si="159"/>
        <v>21.599999999999998</v>
      </c>
      <c r="AP39" s="12">
        <f t="shared" si="159"/>
        <v>21.599999999999998</v>
      </c>
      <c r="AQ39" s="12">
        <f t="shared" si="159"/>
        <v>21.6</v>
      </c>
      <c r="AR39" s="12">
        <f t="shared" si="159"/>
        <v>21.599999999999998</v>
      </c>
      <c r="AS39" s="12">
        <f t="shared" si="159"/>
        <v>21.599999999999998</v>
      </c>
      <c r="AT39" s="12">
        <f t="shared" si="159"/>
        <v>21.6</v>
      </c>
      <c r="AU39" s="12">
        <f t="shared" si="159"/>
        <v>21.599999999999998</v>
      </c>
      <c r="AV39" s="12">
        <f t="shared" si="159"/>
        <v>21.599999999999998</v>
      </c>
      <c r="AW39" s="12">
        <f t="shared" si="159"/>
        <v>21.599999999999998</v>
      </c>
      <c r="AX39" s="12">
        <f t="shared" si="159"/>
        <v>22.249999999999996</v>
      </c>
      <c r="AY39" s="12">
        <f t="shared" si="159"/>
        <v>22.250000000000004</v>
      </c>
      <c r="AZ39" s="12">
        <f t="shared" si="159"/>
        <v>22.25</v>
      </c>
      <c r="BA39" s="12">
        <f t="shared" si="159"/>
        <v>22.25</v>
      </c>
      <c r="BB39" s="12">
        <f t="shared" si="159"/>
        <v>22.249999999999996</v>
      </c>
      <c r="BC39" s="12">
        <f t="shared" si="159"/>
        <v>22.250000000000004</v>
      </c>
      <c r="BD39" s="12">
        <f t="shared" ref="BD39:BH39" si="160">BD37 /12/BD38</f>
        <v>22.249999999999996</v>
      </c>
      <c r="BE39" s="12">
        <f t="shared" si="160"/>
        <v>22.25</v>
      </c>
      <c r="BF39" s="12">
        <f t="shared" si="160"/>
        <v>22.250000000000004</v>
      </c>
      <c r="BG39" s="12">
        <f t="shared" si="160"/>
        <v>21.6</v>
      </c>
      <c r="BH39" s="12">
        <f t="shared" si="160"/>
        <v>21.6</v>
      </c>
      <c r="BI39" s="12">
        <f t="shared" ref="BI39:BO39" si="161">BI37 /12/BI38</f>
        <v>22.25</v>
      </c>
      <c r="BJ39" s="12">
        <f t="shared" si="161"/>
        <v>21.599999999999994</v>
      </c>
      <c r="BK39" s="12">
        <f t="shared" si="161"/>
        <v>21.599999999999998</v>
      </c>
      <c r="BL39" s="12">
        <f t="shared" si="161"/>
        <v>22.250000000000004</v>
      </c>
      <c r="BM39" s="12">
        <f t="shared" si="161"/>
        <v>21.599999999999998</v>
      </c>
      <c r="BN39" s="12">
        <f t="shared" ref="BN39" si="162">BN37 /12/BN38</f>
        <v>21.599999999999998</v>
      </c>
      <c r="BO39" s="12">
        <f t="shared" si="161"/>
        <v>21.599999999999994</v>
      </c>
      <c r="BP39" s="36"/>
      <c r="BQ39" s="12">
        <f>BQ37 /12/BQ38</f>
        <v>29.28</v>
      </c>
      <c r="BR39" s="37" t="s">
        <v>130</v>
      </c>
      <c r="BS39" s="36"/>
      <c r="BT39" s="36"/>
      <c r="BU39" s="12">
        <f t="shared" ref="BU39" si="163">BU37/12/BU38</f>
        <v>19.850000000000001</v>
      </c>
      <c r="BV39" s="12">
        <f t="shared" ref="BV39:BW39" si="164">BV37/12/BV38</f>
        <v>19.850000000000001</v>
      </c>
      <c r="BW39" s="12">
        <f t="shared" si="164"/>
        <v>19.850000000000001</v>
      </c>
      <c r="BX39" s="12">
        <f t="shared" ref="BX39" si="165">BX37/12/BX38</f>
        <v>19.849999999999998</v>
      </c>
      <c r="BY39" s="37" t="s">
        <v>130</v>
      </c>
      <c r="BZ39" s="36"/>
      <c r="CA39" s="36"/>
      <c r="CB39" s="12">
        <f t="shared" ref="CB39:CF39" si="166">CB37/12/CB38</f>
        <v>22.799999999999997</v>
      </c>
      <c r="CC39" s="12">
        <f t="shared" si="166"/>
        <v>22.8</v>
      </c>
      <c r="CD39" s="12">
        <f t="shared" si="166"/>
        <v>22.800000000000004</v>
      </c>
      <c r="CE39" s="12">
        <f t="shared" si="166"/>
        <v>22.8</v>
      </c>
      <c r="CF39" s="12">
        <f t="shared" si="166"/>
        <v>22.8</v>
      </c>
      <c r="CG39" s="37" t="s">
        <v>130</v>
      </c>
      <c r="CH39" s="36"/>
      <c r="CI39" s="36"/>
      <c r="CJ39" s="12">
        <f t="shared" ref="CJ39:CS39" si="167">CJ37 /12/CJ38</f>
        <v>17.61</v>
      </c>
      <c r="CK39" s="12">
        <f t="shared" si="167"/>
        <v>17.61</v>
      </c>
      <c r="CL39" s="12">
        <f t="shared" si="167"/>
        <v>17.609999999999996</v>
      </c>
      <c r="CM39" s="12">
        <f t="shared" si="167"/>
        <v>18.260000000000002</v>
      </c>
      <c r="CN39" s="12">
        <f t="shared" si="167"/>
        <v>18.259999999999998</v>
      </c>
      <c r="CO39" s="12">
        <f t="shared" si="167"/>
        <v>17.61</v>
      </c>
      <c r="CP39" s="12">
        <f t="shared" si="167"/>
        <v>17.61</v>
      </c>
      <c r="CQ39" s="12">
        <f t="shared" si="167"/>
        <v>17.610000000000003</v>
      </c>
      <c r="CR39" s="12">
        <f t="shared" si="167"/>
        <v>18.259999999999998</v>
      </c>
      <c r="CS39" s="12">
        <f t="shared" si="167"/>
        <v>18.260000000000002</v>
      </c>
      <c r="CT39" s="12">
        <f t="shared" ref="CT39:DF39" si="168">CT37 /12/CT38</f>
        <v>18.259999999999998</v>
      </c>
      <c r="CU39" s="12">
        <f t="shared" si="168"/>
        <v>18.259999999999998</v>
      </c>
      <c r="CV39" s="12">
        <f t="shared" si="168"/>
        <v>18.259999999999998</v>
      </c>
      <c r="CW39" s="12">
        <f t="shared" si="168"/>
        <v>17.61</v>
      </c>
      <c r="CX39" s="12">
        <f t="shared" si="168"/>
        <v>18.260000000000002</v>
      </c>
      <c r="CY39" s="12">
        <f t="shared" si="168"/>
        <v>18.260000000000002</v>
      </c>
      <c r="CZ39" s="12">
        <f t="shared" si="168"/>
        <v>17.609999999999996</v>
      </c>
      <c r="DA39" s="12">
        <f t="shared" si="168"/>
        <v>18.260000000000002</v>
      </c>
      <c r="DB39" s="12">
        <f t="shared" si="168"/>
        <v>18.260000000000002</v>
      </c>
      <c r="DC39" s="12">
        <f t="shared" si="168"/>
        <v>18.259999999999998</v>
      </c>
      <c r="DD39" s="12">
        <f t="shared" si="168"/>
        <v>18.260000000000002</v>
      </c>
      <c r="DE39" s="12">
        <f t="shared" si="168"/>
        <v>17.61</v>
      </c>
      <c r="DF39" s="12">
        <f t="shared" si="168"/>
        <v>18.259999999999998</v>
      </c>
      <c r="DG39" s="12">
        <f>DG37 /12/DG38</f>
        <v>17.61</v>
      </c>
      <c r="DH39" s="12">
        <f t="shared" ref="DH39:DJ39" si="169">DH37 /12/DH38</f>
        <v>18.259999999999998</v>
      </c>
      <c r="DI39" s="12">
        <f>DI37 /12/DI38</f>
        <v>18.260000000000002</v>
      </c>
      <c r="DJ39" s="12">
        <f t="shared" si="169"/>
        <v>18.259999999999998</v>
      </c>
      <c r="DK39" s="36"/>
      <c r="DL39" s="12">
        <f t="shared" ref="DL39" si="170">DL37/12/DL38</f>
        <v>21.33</v>
      </c>
      <c r="DM39" s="36"/>
      <c r="DN39" s="12">
        <f>DN37 /12/DN38</f>
        <v>21.51</v>
      </c>
      <c r="DO39" s="36"/>
      <c r="DP39" s="12">
        <f>DP37 /12/DP38</f>
        <v>24.340000000000003</v>
      </c>
      <c r="DQ39" s="36"/>
      <c r="DR39" s="12">
        <f>DR37 /12/DR38</f>
        <v>25.330000000000005</v>
      </c>
      <c r="DS39" s="36"/>
      <c r="DT39" s="12">
        <f>DT37 /12/DT38</f>
        <v>23.259999999999998</v>
      </c>
      <c r="DU39" s="36"/>
      <c r="DV39" s="12">
        <f>DV37 /12/DV38</f>
        <v>23.110000000000003</v>
      </c>
      <c r="DW39" s="36"/>
      <c r="DX39" s="12">
        <f>DX37 /12/DX38</f>
        <v>24.77</v>
      </c>
      <c r="DY39" s="36"/>
      <c r="DZ39" s="12">
        <f>DZ37 /12/DZ38</f>
        <v>21.68</v>
      </c>
      <c r="EA39" s="36"/>
      <c r="EB39" s="12">
        <f>EB37 /12/EB38</f>
        <v>20.95</v>
      </c>
      <c r="EC39" s="36"/>
      <c r="ED39" s="12">
        <f>ED37 /12/ED38</f>
        <v>25.199999999999992</v>
      </c>
      <c r="EE39" s="36"/>
      <c r="EF39" s="12">
        <f>EF37 /12/EF38</f>
        <v>25.589999999999996</v>
      </c>
      <c r="EG39" s="36"/>
      <c r="EH39" s="12">
        <f>EH37 /12/EH38</f>
        <v>24.14</v>
      </c>
      <c r="EI39" s="36"/>
      <c r="EJ39" s="12">
        <f>EJ37 /12/EJ38</f>
        <v>22.33</v>
      </c>
      <c r="EK39" s="37" t="s">
        <v>130</v>
      </c>
      <c r="EL39" s="36"/>
      <c r="EM39" s="36"/>
      <c r="EN39" s="12">
        <f t="shared" ref="EN39" si="171">EN37/12/EN38</f>
        <v>16.330000000000002</v>
      </c>
      <c r="EO39" s="12">
        <f t="shared" ref="EO39" si="172">EO37/12/EO38</f>
        <v>16.330000000000002</v>
      </c>
      <c r="EP39" s="12">
        <f>EP37/12/EP38</f>
        <v>16.98</v>
      </c>
      <c r="EQ39" s="36"/>
      <c r="ER39" s="12">
        <f>ER37/12/ER38</f>
        <v>22.23</v>
      </c>
      <c r="ES39" s="37" t="s">
        <v>130</v>
      </c>
      <c r="ET39" s="36"/>
      <c r="EU39" s="36"/>
      <c r="EV39" s="12">
        <f t="shared" ref="EV39:EW39" si="173">EV37 /12/EV38</f>
        <v>19.439999999999998</v>
      </c>
      <c r="EW39" s="55">
        <f t="shared" si="173"/>
        <v>19.439999999999998</v>
      </c>
      <c r="EX39" s="12">
        <f>EX37/12/EX38</f>
        <v>19.440000000000001</v>
      </c>
      <c r="EY39" s="59" t="s">
        <v>172</v>
      </c>
      <c r="EZ39" s="156"/>
      <c r="FA39" s="36"/>
      <c r="FB39" s="77">
        <f t="shared" ref="FB39:FD39" si="174">FB37/12/FB38</f>
        <v>19.97</v>
      </c>
      <c r="FC39" s="77">
        <f t="shared" si="174"/>
        <v>19.97</v>
      </c>
      <c r="FD39" s="77">
        <f t="shared" si="174"/>
        <v>19.97</v>
      </c>
      <c r="FE39" s="93"/>
      <c r="FF39" s="77">
        <f>FF37/12/FF38</f>
        <v>19.739999999999998</v>
      </c>
      <c r="FG39" s="93"/>
      <c r="FH39" s="77">
        <f>FH37/12/FH38</f>
        <v>22.4</v>
      </c>
      <c r="FI39" s="186"/>
      <c r="FJ39" s="186"/>
      <c r="FK39" s="163"/>
      <c r="FL39" s="163"/>
      <c r="FM39" s="161"/>
      <c r="FN39" s="161"/>
      <c r="FO39" s="161"/>
    </row>
    <row r="40" spans="1:171" s="2" customFormat="1" ht="15.75" customHeight="1" x14ac:dyDescent="0.2">
      <c r="A40" s="15"/>
      <c r="B40" s="18"/>
      <c r="C40" s="18"/>
      <c r="D40" s="16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8"/>
      <c r="BQ40" s="157"/>
      <c r="BR40" s="18"/>
      <c r="BS40" s="18"/>
      <c r="BT40" s="18"/>
      <c r="BU40" s="157"/>
      <c r="BV40" s="157"/>
      <c r="BW40" s="157"/>
      <c r="BX40" s="157"/>
      <c r="BY40" s="157"/>
      <c r="BZ40" s="157"/>
      <c r="CA40" s="18"/>
      <c r="CB40" s="18"/>
      <c r="CC40" s="18"/>
      <c r="CD40" s="18"/>
      <c r="CE40" s="18"/>
      <c r="CF40" s="18"/>
      <c r="CG40" s="18"/>
      <c r="CH40" s="18"/>
      <c r="CI40" s="18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7"/>
      <c r="CU40" s="157"/>
      <c r="CV40" s="157"/>
      <c r="CW40" s="157"/>
      <c r="CX40" s="157"/>
      <c r="CY40" s="157"/>
      <c r="CZ40" s="157"/>
      <c r="DA40" s="157"/>
      <c r="DB40" s="157"/>
      <c r="DC40" s="157"/>
      <c r="DD40" s="157"/>
      <c r="DE40" s="157"/>
      <c r="DF40" s="157"/>
      <c r="DG40" s="157"/>
      <c r="DH40" s="157"/>
      <c r="DI40" s="157"/>
      <c r="DJ40" s="157"/>
      <c r="DK40" s="18"/>
      <c r="DL40" s="157"/>
      <c r="DM40" s="18"/>
      <c r="DN40" s="157"/>
      <c r="DO40" s="18"/>
      <c r="DP40" s="157"/>
      <c r="DQ40" s="18"/>
      <c r="DR40" s="157"/>
      <c r="DS40" s="18"/>
      <c r="DT40" s="157"/>
      <c r="DU40" s="18"/>
      <c r="DV40" s="157"/>
      <c r="DW40" s="18"/>
      <c r="DX40" s="157"/>
      <c r="DY40" s="18"/>
      <c r="DZ40" s="157"/>
      <c r="EA40" s="18"/>
      <c r="EB40" s="157"/>
      <c r="EC40" s="18"/>
      <c r="ED40" s="157"/>
      <c r="EE40" s="18"/>
      <c r="EF40" s="157"/>
      <c r="EG40" s="18"/>
      <c r="EH40" s="157"/>
      <c r="EI40" s="18"/>
      <c r="EJ40" s="157"/>
      <c r="EK40" s="28"/>
      <c r="EL40" s="28"/>
      <c r="EM40" s="157"/>
      <c r="EN40" s="157"/>
      <c r="EO40" s="157"/>
      <c r="EP40" s="157"/>
      <c r="EQ40" s="157"/>
      <c r="ER40" s="157"/>
      <c r="ES40" s="157"/>
      <c r="ET40" s="157"/>
      <c r="EU40" s="157"/>
      <c r="EV40" s="157"/>
      <c r="EW40" s="157"/>
      <c r="EX40" s="18"/>
      <c r="EY40" s="157"/>
      <c r="EZ40" s="157"/>
      <c r="FA40" s="157"/>
      <c r="FB40" s="158"/>
      <c r="FC40" s="158"/>
      <c r="FF40" s="158"/>
      <c r="FH40" s="158"/>
      <c r="FI40" s="161"/>
      <c r="FJ40" s="161"/>
      <c r="FK40" s="161"/>
      <c r="FL40" s="161"/>
      <c r="FM40" s="161"/>
      <c r="FN40" s="161"/>
      <c r="FO40" s="161"/>
    </row>
    <row r="41" spans="1:171" s="2" customFormat="1" ht="25.5" customHeight="1" x14ac:dyDescent="0.2">
      <c r="A41" s="15"/>
      <c r="B41" s="18"/>
      <c r="C41" s="18"/>
      <c r="D41" s="16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8"/>
      <c r="BQ41" s="157"/>
      <c r="BR41" s="18"/>
      <c r="BS41" s="18"/>
      <c r="BT41" s="18"/>
      <c r="BU41" s="157"/>
      <c r="BV41" s="157"/>
      <c r="BW41" s="157"/>
      <c r="BX41" s="157"/>
      <c r="BY41" s="157"/>
      <c r="BZ41" s="157"/>
      <c r="CA41" s="18"/>
      <c r="CB41" s="18"/>
      <c r="CC41" s="18"/>
      <c r="CD41" s="18"/>
      <c r="CE41" s="18"/>
      <c r="CF41" s="18"/>
      <c r="CG41" s="18"/>
      <c r="CH41" s="18"/>
      <c r="CI41" s="18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8"/>
      <c r="DL41" s="157"/>
      <c r="DM41" s="18"/>
      <c r="DN41" s="157"/>
      <c r="DO41" s="18"/>
      <c r="DP41" s="157"/>
      <c r="DQ41" s="18"/>
      <c r="DR41" s="157"/>
      <c r="DS41" s="18"/>
      <c r="DT41" s="157"/>
      <c r="DU41" s="18"/>
      <c r="DV41" s="157"/>
      <c r="DW41" s="18"/>
      <c r="DX41" s="157"/>
      <c r="DY41" s="18"/>
      <c r="DZ41" s="157"/>
      <c r="EA41" s="18"/>
      <c r="EB41" s="157"/>
      <c r="EC41" s="18"/>
      <c r="ED41" s="157"/>
      <c r="EE41" s="18"/>
      <c r="EF41" s="157"/>
      <c r="EG41" s="18"/>
      <c r="EH41" s="157"/>
      <c r="EI41" s="18"/>
      <c r="EJ41" s="157"/>
      <c r="EK41" s="28"/>
      <c r="EL41" s="28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8"/>
      <c r="EY41" s="157"/>
      <c r="EZ41" s="157"/>
      <c r="FA41" s="157"/>
      <c r="FB41" s="157"/>
      <c r="FC41" s="157"/>
      <c r="FF41" s="157"/>
      <c r="FH41" s="157"/>
      <c r="FI41" s="161"/>
      <c r="FJ41" s="161"/>
      <c r="FK41" s="161"/>
      <c r="FL41" s="161"/>
      <c r="FM41" s="161"/>
      <c r="FN41" s="161"/>
      <c r="FO41" s="161"/>
    </row>
    <row r="42" spans="1:171" s="28" customFormat="1" ht="12.75" customHeight="1" x14ac:dyDescent="0.2">
      <c r="A42" s="159"/>
      <c r="B42" s="30"/>
      <c r="C42" s="30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30"/>
      <c r="BQ42" s="157"/>
      <c r="BR42" s="30"/>
      <c r="BS42" s="30"/>
      <c r="BT42" s="30"/>
      <c r="BU42" s="157"/>
      <c r="BV42" s="157"/>
      <c r="BW42" s="157"/>
      <c r="BX42" s="157"/>
      <c r="BY42" s="157"/>
      <c r="BZ42" s="157"/>
      <c r="CA42" s="30"/>
      <c r="CB42" s="30"/>
      <c r="CC42" s="30"/>
      <c r="CD42" s="30"/>
      <c r="CE42" s="30"/>
      <c r="CF42" s="30"/>
      <c r="CG42" s="30"/>
      <c r="CH42" s="30"/>
      <c r="CI42" s="30"/>
      <c r="CJ42" s="157"/>
      <c r="CK42" s="157"/>
      <c r="CL42" s="157"/>
      <c r="CM42" s="157"/>
      <c r="CN42" s="157"/>
      <c r="CO42" s="157"/>
      <c r="CP42" s="157"/>
      <c r="CQ42" s="157"/>
      <c r="CR42" s="157"/>
      <c r="CS42" s="157"/>
      <c r="CT42" s="157"/>
      <c r="CU42" s="157"/>
      <c r="CV42" s="157"/>
      <c r="CW42" s="157"/>
      <c r="CX42" s="157"/>
      <c r="CY42" s="157"/>
      <c r="CZ42" s="157"/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30"/>
      <c r="DL42" s="157"/>
      <c r="DM42" s="30"/>
      <c r="DN42" s="157"/>
      <c r="DO42" s="30"/>
      <c r="DP42" s="157"/>
      <c r="DQ42" s="30"/>
      <c r="DR42" s="157"/>
      <c r="DS42" s="30"/>
      <c r="DT42" s="157"/>
      <c r="DU42" s="30"/>
      <c r="DV42" s="157"/>
      <c r="DW42" s="30"/>
      <c r="DX42" s="157"/>
      <c r="DY42" s="30"/>
      <c r="DZ42" s="157"/>
      <c r="EA42" s="30"/>
      <c r="EB42" s="157"/>
      <c r="EC42" s="30"/>
      <c r="ED42" s="157"/>
      <c r="EE42" s="30"/>
      <c r="EF42" s="157"/>
      <c r="EG42" s="30"/>
      <c r="EH42" s="157"/>
      <c r="EI42" s="30"/>
      <c r="EJ42" s="157"/>
      <c r="EM42" s="157"/>
      <c r="EN42" s="157"/>
      <c r="EO42" s="157"/>
      <c r="EP42" s="157"/>
      <c r="EQ42" s="157"/>
      <c r="ER42" s="157"/>
      <c r="ES42" s="157"/>
      <c r="ET42" s="157"/>
      <c r="EU42" s="157"/>
      <c r="EV42" s="157"/>
      <c r="EW42" s="157"/>
      <c r="EX42" s="30"/>
      <c r="EY42" s="157"/>
      <c r="EZ42" s="157"/>
      <c r="FA42" s="157"/>
      <c r="FB42" s="157"/>
      <c r="FC42" s="157"/>
      <c r="FF42" s="157"/>
      <c r="FH42" s="157"/>
      <c r="FI42" s="162"/>
      <c r="FJ42" s="162"/>
      <c r="FK42" s="161"/>
      <c r="FL42" s="162"/>
      <c r="FM42" s="162"/>
      <c r="FN42" s="162"/>
      <c r="FO42" s="162"/>
    </row>
    <row r="43" spans="1:171" s="28" customFormat="1" ht="12.75" hidden="1" customHeight="1" x14ac:dyDescent="0.2">
      <c r="A43" s="159"/>
      <c r="B43" s="30"/>
      <c r="C43" s="30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30"/>
      <c r="BQ43" s="157"/>
      <c r="BR43" s="30"/>
      <c r="BS43" s="30"/>
      <c r="BT43" s="30"/>
      <c r="BU43" s="157"/>
      <c r="BV43" s="157"/>
      <c r="BW43" s="157"/>
      <c r="BX43" s="157"/>
      <c r="BY43" s="157"/>
      <c r="BZ43" s="157"/>
      <c r="CA43" s="30"/>
      <c r="CB43" s="30"/>
      <c r="CC43" s="30"/>
      <c r="CD43" s="30"/>
      <c r="CE43" s="30"/>
      <c r="CF43" s="30"/>
      <c r="CG43" s="30"/>
      <c r="CH43" s="30"/>
      <c r="CI43" s="30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157"/>
      <c r="DD43" s="157"/>
      <c r="DE43" s="157"/>
      <c r="DF43" s="157"/>
      <c r="DG43" s="157"/>
      <c r="DH43" s="157"/>
      <c r="DI43" s="157"/>
      <c r="DJ43" s="157"/>
      <c r="DK43" s="30"/>
      <c r="DL43" s="157"/>
      <c r="DM43" s="30"/>
      <c r="DN43" s="157"/>
      <c r="DO43" s="30"/>
      <c r="DP43" s="157"/>
      <c r="DQ43" s="30"/>
      <c r="DR43" s="157"/>
      <c r="DS43" s="30"/>
      <c r="DT43" s="157"/>
      <c r="DU43" s="30"/>
      <c r="DV43" s="157"/>
      <c r="DW43" s="30"/>
      <c r="DX43" s="157"/>
      <c r="DY43" s="30"/>
      <c r="DZ43" s="157"/>
      <c r="EA43" s="30"/>
      <c r="EB43" s="157"/>
      <c r="EC43" s="30"/>
      <c r="ED43" s="157"/>
      <c r="EE43" s="30"/>
      <c r="EF43" s="157"/>
      <c r="EG43" s="30"/>
      <c r="EH43" s="157"/>
      <c r="EI43" s="30"/>
      <c r="EJ43" s="157"/>
      <c r="EK43" s="157"/>
      <c r="EL43" s="157"/>
      <c r="EM43" s="157"/>
      <c r="EN43" s="157"/>
      <c r="EO43" s="157"/>
      <c r="EP43" s="157"/>
      <c r="EQ43" s="157"/>
      <c r="ER43" s="157"/>
      <c r="ES43" s="157"/>
      <c r="ET43" s="157"/>
      <c r="EU43" s="157"/>
      <c r="EV43" s="157"/>
      <c r="EW43" s="157"/>
      <c r="EX43" s="30"/>
      <c r="EY43" s="157"/>
      <c r="EZ43" s="157"/>
      <c r="FA43" s="157"/>
      <c r="FB43" s="157"/>
      <c r="FC43" s="157"/>
      <c r="FF43" s="157"/>
      <c r="FH43" s="157"/>
      <c r="FI43" s="162"/>
      <c r="FJ43" s="162"/>
      <c r="FK43" s="161"/>
      <c r="FL43" s="162"/>
      <c r="FM43" s="162"/>
      <c r="FN43" s="162"/>
      <c r="FO43" s="162"/>
    </row>
    <row r="44" spans="1:171" s="28" customFormat="1" x14ac:dyDescent="0.2">
      <c r="A44" s="159"/>
      <c r="B44" s="30"/>
      <c r="C44" s="30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30"/>
      <c r="BQ44" s="157"/>
      <c r="BR44" s="30"/>
      <c r="BS44" s="30"/>
      <c r="BT44" s="30"/>
      <c r="BU44" s="157"/>
      <c r="BV44" s="157"/>
      <c r="BW44" s="157"/>
      <c r="BX44" s="157"/>
      <c r="BY44" s="157"/>
      <c r="BZ44" s="157"/>
      <c r="CA44" s="30"/>
      <c r="CB44" s="30"/>
      <c r="CC44" s="30"/>
      <c r="CD44" s="30"/>
      <c r="CE44" s="30"/>
      <c r="CF44" s="30"/>
      <c r="CG44" s="30"/>
      <c r="CH44" s="30"/>
      <c r="CI44" s="30"/>
      <c r="CJ44" s="157"/>
      <c r="CK44" s="157"/>
      <c r="CL44" s="157"/>
      <c r="CM44" s="157"/>
      <c r="CN44" s="157"/>
      <c r="CO44" s="157"/>
      <c r="CP44" s="157"/>
      <c r="CQ44" s="157"/>
      <c r="CR44" s="157"/>
      <c r="CS44" s="157"/>
      <c r="CT44" s="157"/>
      <c r="CU44" s="157"/>
      <c r="CV44" s="157"/>
      <c r="CW44" s="157"/>
      <c r="CX44" s="157"/>
      <c r="CY44" s="157"/>
      <c r="CZ44" s="157"/>
      <c r="DA44" s="157"/>
      <c r="DB44" s="157"/>
      <c r="DC44" s="157"/>
      <c r="DD44" s="157"/>
      <c r="DE44" s="157"/>
      <c r="DF44" s="157"/>
      <c r="DG44" s="157"/>
      <c r="DH44" s="157"/>
      <c r="DI44" s="157"/>
      <c r="DJ44" s="157"/>
      <c r="DK44" s="30"/>
      <c r="DL44" s="157"/>
      <c r="DM44" s="30"/>
      <c r="DN44" s="157"/>
      <c r="DO44" s="30"/>
      <c r="DP44" s="157"/>
      <c r="DQ44" s="30"/>
      <c r="DR44" s="157"/>
      <c r="DS44" s="30"/>
      <c r="DT44" s="157"/>
      <c r="DU44" s="30"/>
      <c r="DV44" s="157"/>
      <c r="DW44" s="30"/>
      <c r="DX44" s="157"/>
      <c r="DY44" s="30"/>
      <c r="DZ44" s="157"/>
      <c r="EA44" s="30"/>
      <c r="EB44" s="157"/>
      <c r="EC44" s="30"/>
      <c r="ED44" s="157"/>
      <c r="EE44" s="30"/>
      <c r="EF44" s="157"/>
      <c r="EG44" s="30"/>
      <c r="EH44" s="157"/>
      <c r="EI44" s="30"/>
      <c r="EJ44" s="157"/>
      <c r="EK44" s="157"/>
      <c r="EL44" s="157"/>
      <c r="EM44" s="157"/>
      <c r="EN44" s="157"/>
      <c r="EO44" s="157"/>
      <c r="EP44" s="157"/>
      <c r="EQ44" s="157"/>
      <c r="ER44" s="157"/>
      <c r="ES44" s="157"/>
      <c r="ET44" s="157"/>
      <c r="EU44" s="157"/>
      <c r="EV44" s="157"/>
      <c r="EW44" s="157"/>
      <c r="EX44" s="30"/>
      <c r="EY44" s="157"/>
      <c r="EZ44" s="157"/>
      <c r="FA44" s="157"/>
      <c r="FB44" s="157"/>
      <c r="FC44" s="157"/>
      <c r="FF44" s="157"/>
      <c r="FH44" s="157"/>
      <c r="FI44" s="162"/>
      <c r="FJ44" s="162"/>
      <c r="FK44" s="161"/>
      <c r="FL44" s="162"/>
      <c r="FM44" s="162"/>
      <c r="FN44" s="162"/>
      <c r="FO44" s="162"/>
    </row>
    <row r="45" spans="1:171" s="28" customFormat="1" x14ac:dyDescent="0.2">
      <c r="A45" s="159"/>
      <c r="B45" s="30"/>
      <c r="C45" s="30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30"/>
      <c r="BQ45" s="157"/>
      <c r="BR45" s="30"/>
      <c r="BS45" s="30"/>
      <c r="BT45" s="30"/>
      <c r="BU45" s="157"/>
      <c r="BV45" s="157"/>
      <c r="BW45" s="157"/>
      <c r="BX45" s="157"/>
      <c r="BY45" s="157"/>
      <c r="BZ45" s="157"/>
      <c r="CA45" s="30"/>
      <c r="CB45" s="30"/>
      <c r="CC45" s="30"/>
      <c r="CD45" s="30"/>
      <c r="CE45" s="30"/>
      <c r="CF45" s="30"/>
      <c r="CG45" s="30"/>
      <c r="CH45" s="30"/>
      <c r="CI45" s="30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30"/>
      <c r="DL45" s="157"/>
      <c r="DM45" s="30"/>
      <c r="DN45" s="157"/>
      <c r="DO45" s="30"/>
      <c r="DP45" s="157"/>
      <c r="DQ45" s="30"/>
      <c r="DR45" s="157"/>
      <c r="DS45" s="30"/>
      <c r="DT45" s="157"/>
      <c r="DU45" s="30"/>
      <c r="DV45" s="157"/>
      <c r="DW45" s="30"/>
      <c r="DX45" s="157"/>
      <c r="DY45" s="30"/>
      <c r="DZ45" s="157"/>
      <c r="EA45" s="30"/>
      <c r="EB45" s="157"/>
      <c r="EC45" s="30"/>
      <c r="ED45" s="157"/>
      <c r="EE45" s="30"/>
      <c r="EF45" s="157"/>
      <c r="EG45" s="30"/>
      <c r="EH45" s="157"/>
      <c r="EI45" s="30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30"/>
      <c r="EY45" s="157"/>
      <c r="EZ45" s="157"/>
      <c r="FA45" s="157"/>
      <c r="FB45" s="157"/>
      <c r="FC45" s="157"/>
      <c r="FF45" s="157"/>
      <c r="FH45" s="157"/>
      <c r="FI45" s="162"/>
      <c r="FJ45" s="162"/>
      <c r="FK45" s="161"/>
      <c r="FL45" s="162"/>
      <c r="FM45" s="162"/>
      <c r="FN45" s="162"/>
      <c r="FO45" s="162"/>
    </row>
    <row r="46" spans="1:171" s="1" customFormat="1" x14ac:dyDescent="0.2">
      <c r="A46" s="6" t="s">
        <v>0</v>
      </c>
      <c r="B46" s="17"/>
      <c r="C46" s="1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17"/>
      <c r="BQ46" s="7"/>
      <c r="BR46" s="30"/>
      <c r="BS46" s="17"/>
      <c r="BT46" s="17"/>
      <c r="BU46" s="7"/>
      <c r="BV46" s="7"/>
      <c r="BW46" s="7"/>
      <c r="BX46" s="7"/>
      <c r="BY46" s="7"/>
      <c r="BZ46" s="7"/>
      <c r="CA46" s="17"/>
      <c r="CB46" s="17"/>
      <c r="CC46" s="17"/>
      <c r="CD46" s="17"/>
      <c r="CE46" s="17"/>
      <c r="CF46" s="17"/>
      <c r="CG46" s="17"/>
      <c r="CH46" s="30"/>
      <c r="CI46" s="1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17"/>
      <c r="DL46" s="7"/>
      <c r="DM46" s="17"/>
      <c r="DN46" s="7"/>
      <c r="DO46" s="17"/>
      <c r="DP46" s="7"/>
      <c r="DQ46" s="17"/>
      <c r="DR46" s="7"/>
      <c r="DS46" s="17"/>
      <c r="DT46" s="7"/>
      <c r="DU46" s="17"/>
      <c r="DV46" s="7"/>
      <c r="DW46" s="17"/>
      <c r="DX46" s="7"/>
      <c r="DY46" s="17"/>
      <c r="DZ46" s="7"/>
      <c r="EA46" s="17"/>
      <c r="EB46" s="7"/>
      <c r="EC46" s="17"/>
      <c r="ED46" s="7"/>
      <c r="EE46" s="17"/>
      <c r="EF46" s="7"/>
      <c r="EG46" s="17"/>
      <c r="EH46" s="7"/>
      <c r="EI46" s="1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17"/>
      <c r="EY46" s="7"/>
      <c r="EZ46" s="7"/>
      <c r="FA46" s="7"/>
      <c r="FB46" s="7"/>
      <c r="FC46" s="7"/>
      <c r="FF46" s="7"/>
      <c r="FH46" s="7"/>
      <c r="FK46" s="75"/>
    </row>
    <row r="47" spans="1:171" s="1" customFormat="1" x14ac:dyDescent="0.2">
      <c r="A47" s="6"/>
      <c r="B47" s="17"/>
      <c r="C47" s="1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17"/>
      <c r="BQ47" s="7"/>
      <c r="BR47" s="30"/>
      <c r="BS47" s="17"/>
      <c r="BT47" s="17"/>
      <c r="BU47" s="7"/>
      <c r="BV47" s="7"/>
      <c r="BW47" s="7"/>
      <c r="BX47" s="7"/>
      <c r="BY47" s="7"/>
      <c r="BZ47" s="7"/>
      <c r="CA47" s="17"/>
      <c r="CB47" s="17"/>
      <c r="CC47" s="17"/>
      <c r="CD47" s="17"/>
      <c r="CE47" s="17"/>
      <c r="CF47" s="17"/>
      <c r="CG47" s="17"/>
      <c r="CH47" s="30"/>
      <c r="CI47" s="1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17"/>
      <c r="DL47" s="7"/>
      <c r="DM47" s="17"/>
      <c r="DN47" s="7"/>
      <c r="DO47" s="17"/>
      <c r="DP47" s="7"/>
      <c r="DQ47" s="17"/>
      <c r="DR47" s="7"/>
      <c r="DS47" s="17"/>
      <c r="DT47" s="7"/>
      <c r="DU47" s="17"/>
      <c r="DV47" s="7"/>
      <c r="DW47" s="17"/>
      <c r="DX47" s="7"/>
      <c r="DY47" s="17"/>
      <c r="DZ47" s="7"/>
      <c r="EA47" s="17"/>
      <c r="EB47" s="7"/>
      <c r="EC47" s="17"/>
      <c r="ED47" s="7"/>
      <c r="EE47" s="17"/>
      <c r="EF47" s="7"/>
      <c r="EG47" s="17"/>
      <c r="EH47" s="7"/>
      <c r="EI47" s="1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17"/>
      <c r="EY47" s="7"/>
      <c r="EZ47" s="7"/>
      <c r="FA47" s="7"/>
      <c r="FB47" s="7"/>
      <c r="FC47" s="7"/>
      <c r="FF47" s="7"/>
      <c r="FH47" s="7"/>
      <c r="FK47" s="75"/>
    </row>
  </sheetData>
  <mergeCells count="36">
    <mergeCell ref="FG7:FG8"/>
    <mergeCell ref="EQ7:EQ8"/>
    <mergeCell ref="BP7:BP8"/>
    <mergeCell ref="EI7:EI8"/>
    <mergeCell ref="EG7:EG8"/>
    <mergeCell ref="EE7:EE8"/>
    <mergeCell ref="EC7:EC8"/>
    <mergeCell ref="DY7:DY8"/>
    <mergeCell ref="EA7:EA8"/>
    <mergeCell ref="CG7:CG8"/>
    <mergeCell ref="FA7:FA8"/>
    <mergeCell ref="FE7:FE8"/>
    <mergeCell ref="EY7:EY8"/>
    <mergeCell ref="EZ7:EZ8"/>
    <mergeCell ref="ET7:ET8"/>
    <mergeCell ref="EU7:EU8"/>
    <mergeCell ref="ES7:ES8"/>
    <mergeCell ref="CH7:CH8"/>
    <mergeCell ref="CI7:CI8"/>
    <mergeCell ref="EK7:EK8"/>
    <mergeCell ref="EL7:EL8"/>
    <mergeCell ref="EM7:EM8"/>
    <mergeCell ref="DW7:DW8"/>
    <mergeCell ref="DU7:DU8"/>
    <mergeCell ref="DQ7:DQ8"/>
    <mergeCell ref="DS7:DS8"/>
    <mergeCell ref="DO7:DO8"/>
    <mergeCell ref="DM7:DM8"/>
    <mergeCell ref="DK7:DK8"/>
    <mergeCell ref="A6:A8"/>
    <mergeCell ref="B7:B8"/>
    <mergeCell ref="C7:C8"/>
    <mergeCell ref="BT7:BT8"/>
    <mergeCell ref="BY7:BY8"/>
    <mergeCell ref="BZ7:BZ8"/>
    <mergeCell ref="CA7:CA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2017-11-13T15:16:57Z</dcterms:modified>
</cp:coreProperties>
</file>